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0" yWindow="0" windowWidth="27945" windowHeight="11400" tabRatio="551" firstSheet="2" activeTab="2"/>
  </bookViews>
  <sheets>
    <sheet name="внеб февраль" sheetId="4" state="hidden" r:id="rId1"/>
    <sheet name="апрель" sheetId="9" state="hidden" r:id="rId2"/>
    <sheet name="20 лс" sheetId="1" r:id="rId3"/>
    <sheet name="декабрь 19" sheetId="38" state="hidden" r:id="rId4"/>
    <sheet name="ноябрь 19" sheetId="37" state="hidden" r:id="rId5"/>
    <sheet name="октябрь 19" sheetId="36" state="hidden" r:id="rId6"/>
    <sheet name="сентябрь 19" sheetId="35" state="hidden" r:id="rId7"/>
    <sheet name="август 19" sheetId="34" state="hidden" r:id="rId8"/>
    <sheet name="июль 19" sheetId="33" state="hidden" r:id="rId9"/>
    <sheet name="июнь 19" sheetId="32" state="hidden" r:id="rId10"/>
    <sheet name="май 19" sheetId="8" state="hidden" r:id="rId11"/>
    <sheet name="апрель 19" sheetId="31" state="hidden" r:id="rId12"/>
    <sheet name="март" sheetId="30" state="hidden" r:id="rId13"/>
    <sheet name="февраль" sheetId="29" state="hidden" r:id="rId14"/>
    <sheet name="январь" sheetId="28" state="hidden" r:id="rId15"/>
    <sheet name="внеб декабрь" sheetId="27" state="hidden" r:id="rId16"/>
    <sheet name="внеб октябрь" sheetId="25" state="hidden" r:id="rId17"/>
    <sheet name="внеб сентябрь" sheetId="24" state="hidden" r:id="rId18"/>
    <sheet name="внеб август" sheetId="23" state="hidden" r:id="rId19"/>
    <sheet name="внеб июль" sheetId="22" state="hidden" r:id="rId20"/>
    <sheet name="внеб июнь" sheetId="21" state="hidden" r:id="rId21"/>
    <sheet name="внеб май" sheetId="20" state="hidden" r:id="rId22"/>
    <sheet name="внеб апрель" sheetId="6" state="hidden" r:id="rId23"/>
    <sheet name="июнь" sheetId="10" state="hidden" r:id="rId24"/>
    <sheet name="июль" sheetId="11" state="hidden" r:id="rId25"/>
    <sheet name="сентябрь" sheetId="13" state="hidden" r:id="rId26"/>
    <sheet name="август" sheetId="12" state="hidden" r:id="rId27"/>
    <sheet name="декабрь" sheetId="16" state="hidden" r:id="rId28"/>
    <sheet name="ноябрь" sheetId="15" state="hidden" r:id="rId29"/>
    <sheet name="октябрь" sheetId="14" state="hidden" r:id="rId30"/>
    <sheet name="внеб март" sheetId="19" state="hidden" r:id="rId31"/>
    <sheet name="внеб ноябрь" sheetId="26" state="hidden" r:id="rId32"/>
    <sheet name="апрель 20" sheetId="41" state="hidden" r:id="rId33"/>
    <sheet name="март 20" sheetId="40" state="hidden" r:id="rId34"/>
    <sheet name="февраль 20" sheetId="39" state="hidden" r:id="rId35"/>
    <sheet name="январь 20" sheetId="3" state="hidden" r:id="rId36"/>
    <sheet name="21 лиц счет" sheetId="5" r:id="rId37"/>
    <sheet name="отчет (2)" sheetId="18" state="hidden" r:id="rId38"/>
    <sheet name="Лист1" sheetId="42" r:id="rId39"/>
  </sheets>
  <definedNames>
    <definedName name="__xlnm.Print_Area">#REF!</definedName>
    <definedName name="_1Excel_BuiltIn_Print_Area_1">#REF!</definedName>
    <definedName name="_xlnm.Print_Area" localSheetId="2">'20 лс'!$A$1:$AB$195</definedName>
    <definedName name="_xlnm.Print_Area" localSheetId="36">'21 лиц счет'!$A$1:$F$43</definedName>
    <definedName name="_xlnm.Print_Area" localSheetId="37">'отчет (2)'!$A$1:$AC$162</definedName>
  </definedNames>
  <calcPr calcId="162913" refMode="R1C1"/>
</workbook>
</file>

<file path=xl/calcChain.xml><?xml version="1.0" encoding="utf-8"?>
<calcChain xmlns="http://schemas.openxmlformats.org/spreadsheetml/2006/main">
  <c r="D112" i="1" l="1"/>
  <c r="D111" i="1"/>
  <c r="D31" i="1"/>
  <c r="D34" i="1"/>
  <c r="D33" i="1"/>
  <c r="D24" i="1"/>
  <c r="D28" i="1"/>
  <c r="AD28" i="1"/>
  <c r="D27" i="1"/>
  <c r="D39" i="1"/>
  <c r="D38" i="1"/>
  <c r="D36" i="1"/>
  <c r="D18" i="1"/>
  <c r="D20" i="1"/>
  <c r="D21" i="1"/>
  <c r="D80" i="1"/>
  <c r="D82" i="1"/>
  <c r="D83" i="1"/>
  <c r="D108" i="1"/>
  <c r="D81" i="1"/>
  <c r="D84" i="1"/>
  <c r="D135" i="1"/>
  <c r="D139" i="1"/>
  <c r="D96" i="1"/>
  <c r="D101" i="1"/>
  <c r="D100" i="1"/>
  <c r="D92" i="1"/>
  <c r="D91" i="1"/>
  <c r="D89" i="1"/>
  <c r="D88" i="1"/>
  <c r="D76" i="1"/>
  <c r="D79" i="1"/>
  <c r="D78" i="1"/>
  <c r="D71" i="1"/>
  <c r="D69" i="1"/>
  <c r="D67" i="1"/>
  <c r="D47" i="1"/>
  <c r="D50" i="1"/>
  <c r="Q50" i="1"/>
  <c r="D41" i="1"/>
  <c r="D13" i="1"/>
  <c r="D11" i="1"/>
  <c r="D7" i="1"/>
  <c r="AD71" i="1"/>
  <c r="AD27" i="1"/>
  <c r="D37" i="1"/>
  <c r="D106" i="1"/>
  <c r="D57" i="1"/>
  <c r="D58" i="1"/>
  <c r="D61" i="1"/>
  <c r="D46" i="1"/>
  <c r="D43" i="1"/>
  <c r="D90" i="1"/>
  <c r="AE80" i="1"/>
  <c r="C122" i="1"/>
  <c r="C157" i="1"/>
  <c r="C158" i="1"/>
  <c r="C191" i="1"/>
  <c r="C79" i="1"/>
  <c r="C78" i="1"/>
  <c r="C82" i="1"/>
  <c r="C109" i="1"/>
  <c r="C80" i="1"/>
  <c r="C76" i="1"/>
  <c r="F22" i="5"/>
  <c r="D53" i="1"/>
  <c r="D10" i="1"/>
  <c r="D23" i="5"/>
  <c r="C165" i="1"/>
  <c r="H33" i="1"/>
  <c r="H20" i="1"/>
  <c r="H21" i="1"/>
  <c r="U21" i="1"/>
  <c r="U20" i="1"/>
  <c r="H28" i="1"/>
  <c r="H27" i="1"/>
  <c r="U33" i="1"/>
  <c r="T33" i="1"/>
  <c r="R27" i="1"/>
  <c r="Q27" i="1"/>
  <c r="S27" i="1"/>
  <c r="S24" i="1"/>
  <c r="T27" i="1"/>
  <c r="R28" i="1"/>
  <c r="Q28" i="1"/>
  <c r="S28" i="1"/>
  <c r="T28" i="1"/>
  <c r="U24" i="1"/>
  <c r="U22" i="1"/>
  <c r="U29" i="1"/>
  <c r="U7" i="1"/>
  <c r="U13" i="1"/>
  <c r="U16" i="1"/>
  <c r="U71" i="1"/>
  <c r="H12" i="1"/>
  <c r="H10" i="1"/>
  <c r="H67" i="1"/>
  <c r="H7" i="1"/>
  <c r="Q55" i="1"/>
  <c r="Q56" i="1"/>
  <c r="U53" i="1"/>
  <c r="Q53" i="1"/>
  <c r="AD53" i="1"/>
  <c r="H53" i="1"/>
  <c r="U67" i="1"/>
  <c r="U80" i="1"/>
  <c r="U76" i="1"/>
  <c r="H80" i="1"/>
  <c r="H76" i="1"/>
  <c r="U41" i="1"/>
  <c r="U43" i="1"/>
  <c r="U112" i="1"/>
  <c r="U111" i="1"/>
  <c r="H41" i="1"/>
  <c r="F43" i="1"/>
  <c r="G43" i="1"/>
  <c r="H43" i="1"/>
  <c r="E43" i="1"/>
  <c r="T45" i="1"/>
  <c r="T43" i="1"/>
  <c r="H111" i="1"/>
  <c r="F54" i="41"/>
  <c r="F41" i="41"/>
  <c r="C54" i="41"/>
  <c r="C53" i="41"/>
  <c r="F37" i="41"/>
  <c r="E37" i="41"/>
  <c r="D37" i="41"/>
  <c r="B53" i="41"/>
  <c r="U180" i="1"/>
  <c r="U181" i="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C37" i="41"/>
  <c r="B37" i="41"/>
  <c r="B38" i="41"/>
  <c r="B41" i="41"/>
  <c r="G9" i="41"/>
  <c r="G8" i="41"/>
  <c r="G7" i="41"/>
  <c r="G6" i="41"/>
  <c r="G5" i="41"/>
  <c r="G4" i="41"/>
  <c r="G108" i="1"/>
  <c r="G106" i="1"/>
  <c r="G33" i="1"/>
  <c r="G38" i="1"/>
  <c r="T22" i="1"/>
  <c r="T29" i="1"/>
  <c r="G21" i="1"/>
  <c r="T21" i="1"/>
  <c r="G20" i="1"/>
  <c r="T20" i="1"/>
  <c r="T140" i="1"/>
  <c r="T135" i="1"/>
  <c r="T154" i="1"/>
  <c r="T139" i="1"/>
  <c r="G139" i="1"/>
  <c r="F67" i="1"/>
  <c r="F7" i="1"/>
  <c r="T84" i="1"/>
  <c r="G84" i="1"/>
  <c r="G122" i="1"/>
  <c r="B23" i="40"/>
  <c r="G23" i="40"/>
  <c r="B48" i="40"/>
  <c r="T67" i="1"/>
  <c r="T7" i="1"/>
  <c r="T11" i="1"/>
  <c r="T10" i="1"/>
  <c r="Q10" i="1"/>
  <c r="G67" i="1"/>
  <c r="G71" i="1"/>
  <c r="G13" i="1"/>
  <c r="G11" i="1"/>
  <c r="G10" i="1"/>
  <c r="G7" i="1"/>
  <c r="T108" i="1"/>
  <c r="Q108" i="1"/>
  <c r="T52" i="1"/>
  <c r="T47" i="1"/>
  <c r="T80" i="1"/>
  <c r="T76" i="1"/>
  <c r="T50" i="1"/>
  <c r="T112" i="1"/>
  <c r="G52" i="1"/>
  <c r="G112" i="1"/>
  <c r="G111" i="1"/>
  <c r="G80" i="1"/>
  <c r="G76" i="1"/>
  <c r="B47" i="40"/>
  <c r="B19" i="40"/>
  <c r="C19" i="40"/>
  <c r="C71" i="1"/>
  <c r="T41" i="1"/>
  <c r="B14" i="40"/>
  <c r="G14" i="40"/>
  <c r="C14" i="40"/>
  <c r="C37" i="40"/>
  <c r="B10" i="40"/>
  <c r="C10" i="40"/>
  <c r="B45" i="40"/>
  <c r="T71" i="1"/>
  <c r="Q71" i="1"/>
  <c r="F54" i="40"/>
  <c r="C53" i="40"/>
  <c r="F37" i="40"/>
  <c r="E37" i="40"/>
  <c r="D37" i="40"/>
  <c r="B53" i="40"/>
  <c r="T180" i="1"/>
  <c r="T181" i="1"/>
  <c r="G29" i="40"/>
  <c r="G28" i="40"/>
  <c r="G27" i="40"/>
  <c r="G26" i="40"/>
  <c r="G25" i="40"/>
  <c r="G24" i="40"/>
  <c r="G22" i="40"/>
  <c r="G21" i="40"/>
  <c r="G20" i="40"/>
  <c r="G19" i="40"/>
  <c r="G18" i="40"/>
  <c r="G17" i="40"/>
  <c r="G16" i="40"/>
  <c r="G15" i="40"/>
  <c r="G13" i="40"/>
  <c r="G12" i="40"/>
  <c r="G11" i="40"/>
  <c r="G9" i="40"/>
  <c r="G8" i="40"/>
  <c r="G7" i="40"/>
  <c r="G6" i="40"/>
  <c r="G5" i="40"/>
  <c r="G4" i="40"/>
  <c r="F20" i="1"/>
  <c r="F18" i="1"/>
  <c r="E20" i="1"/>
  <c r="S21" i="1"/>
  <c r="B51" i="39"/>
  <c r="S7" i="1"/>
  <c r="B50" i="39"/>
  <c r="F112" i="1"/>
  <c r="F111" i="1"/>
  <c r="F71" i="1"/>
  <c r="F41" i="1"/>
  <c r="F13" i="1"/>
  <c r="F11" i="1"/>
  <c r="F10" i="1"/>
  <c r="S13" i="1"/>
  <c r="Q13" i="1"/>
  <c r="S71" i="1"/>
  <c r="B49" i="39"/>
  <c r="S112" i="1"/>
  <c r="S111" i="1"/>
  <c r="S67" i="1"/>
  <c r="S11" i="1"/>
  <c r="C189" i="1"/>
  <c r="S139" i="1"/>
  <c r="Q139" i="1"/>
  <c r="S47" i="1"/>
  <c r="F47" i="1"/>
  <c r="S80" i="1"/>
  <c r="F139" i="1"/>
  <c r="F135" i="1"/>
  <c r="F154" i="1"/>
  <c r="B15" i="39"/>
  <c r="G15" i="39"/>
  <c r="G37" i="39"/>
  <c r="C15" i="39"/>
  <c r="C37" i="39"/>
  <c r="F80" i="1"/>
  <c r="F76" i="1"/>
  <c r="B47" i="39"/>
  <c r="B12" i="39"/>
  <c r="G12" i="39"/>
  <c r="S41" i="1"/>
  <c r="Q41" i="1"/>
  <c r="S92" i="1"/>
  <c r="Q92" i="1"/>
  <c r="AD92" i="1"/>
  <c r="B10" i="39"/>
  <c r="B37" i="39"/>
  <c r="B44" i="39"/>
  <c r="C44" i="39"/>
  <c r="C54" i="39"/>
  <c r="C53" i="39"/>
  <c r="F54" i="39"/>
  <c r="F37" i="39"/>
  <c r="F41" i="39"/>
  <c r="E37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4" i="39"/>
  <c r="G13" i="39"/>
  <c r="G11" i="39"/>
  <c r="G9" i="39"/>
  <c r="G8" i="39"/>
  <c r="G6" i="39"/>
  <c r="G5" i="39"/>
  <c r="G4" i="39"/>
  <c r="B7" i="3"/>
  <c r="B8" i="3"/>
  <c r="G8" i="3"/>
  <c r="C11" i="3"/>
  <c r="D11" i="3"/>
  <c r="D37" i="3"/>
  <c r="B16" i="3"/>
  <c r="C16" i="3"/>
  <c r="B44" i="3"/>
  <c r="B45" i="3"/>
  <c r="B46" i="3"/>
  <c r="E21" i="1"/>
  <c r="R21" i="1"/>
  <c r="E33" i="1"/>
  <c r="R7" i="1"/>
  <c r="R67" i="1"/>
  <c r="Q67" i="1"/>
  <c r="E7" i="1"/>
  <c r="E16" i="1"/>
  <c r="E10" i="1"/>
  <c r="R10" i="1"/>
  <c r="R68" i="1"/>
  <c r="Q68" i="1"/>
  <c r="S68" i="1"/>
  <c r="V20" i="1"/>
  <c r="V18" i="1"/>
  <c r="V31" i="1"/>
  <c r="W20" i="1"/>
  <c r="W18" i="1"/>
  <c r="W31" i="1"/>
  <c r="X20" i="1"/>
  <c r="X18" i="1"/>
  <c r="X31" i="1"/>
  <c r="Y20" i="1"/>
  <c r="Y18" i="1"/>
  <c r="Y31" i="1"/>
  <c r="Z20" i="1"/>
  <c r="Z18" i="1"/>
  <c r="Z31" i="1"/>
  <c r="AA20" i="1"/>
  <c r="AA18" i="1"/>
  <c r="AB20" i="1"/>
  <c r="AB18" i="1"/>
  <c r="AC20" i="1"/>
  <c r="AC18" i="1"/>
  <c r="C13" i="1"/>
  <c r="J181" i="1"/>
  <c r="M181" i="1"/>
  <c r="O181" i="1"/>
  <c r="F68" i="1"/>
  <c r="Q51" i="1"/>
  <c r="AC29" i="1"/>
  <c r="B47" i="38"/>
  <c r="P47" i="1"/>
  <c r="P64" i="1"/>
  <c r="P156" i="1"/>
  <c r="P158" i="1"/>
  <c r="P191" i="1"/>
  <c r="AC114" i="1"/>
  <c r="Q114" i="1"/>
  <c r="P114" i="1"/>
  <c r="B46" i="38"/>
  <c r="AC47" i="1"/>
  <c r="Q169" i="1"/>
  <c r="Q171" i="1"/>
  <c r="AD171" i="1"/>
  <c r="B15" i="38"/>
  <c r="G15" i="38"/>
  <c r="B45" i="38"/>
  <c r="AC111" i="1"/>
  <c r="P111" i="1"/>
  <c r="B10" i="38"/>
  <c r="C10" i="38"/>
  <c r="G10" i="38"/>
  <c r="C37" i="38"/>
  <c r="B38" i="38"/>
  <c r="B41" i="38"/>
  <c r="B44" i="38"/>
  <c r="B5" i="38"/>
  <c r="F54" i="38"/>
  <c r="C53" i="38"/>
  <c r="F37" i="38"/>
  <c r="E37" i="38"/>
  <c r="E38" i="38"/>
  <c r="D37" i="38"/>
  <c r="B53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4" i="38"/>
  <c r="G13" i="38"/>
  <c r="G12" i="38"/>
  <c r="G11" i="38"/>
  <c r="G9" i="38"/>
  <c r="G8" i="38"/>
  <c r="G7" i="38"/>
  <c r="G6" i="38"/>
  <c r="G5" i="38"/>
  <c r="G4" i="38"/>
  <c r="O38" i="1"/>
  <c r="B48" i="37"/>
  <c r="B47" i="37"/>
  <c r="Q113" i="1"/>
  <c r="C20" i="37"/>
  <c r="G20" i="37"/>
  <c r="AB47" i="1"/>
  <c r="AB43" i="1"/>
  <c r="O10" i="1"/>
  <c r="O16" i="1"/>
  <c r="O43" i="1"/>
  <c r="O47" i="1"/>
  <c r="AB76" i="1"/>
  <c r="B46" i="37"/>
  <c r="Q109" i="1"/>
  <c r="AD109" i="1"/>
  <c r="O135" i="1"/>
  <c r="AB135" i="1"/>
  <c r="AB154" i="1"/>
  <c r="Z135" i="1"/>
  <c r="Z154" i="1"/>
  <c r="AA135" i="1"/>
  <c r="C53" i="36"/>
  <c r="C15" i="37"/>
  <c r="B15" i="37"/>
  <c r="B45" i="37"/>
  <c r="C10" i="37"/>
  <c r="B10" i="37"/>
  <c r="O114" i="1"/>
  <c r="D113" i="1"/>
  <c r="AD113" i="1"/>
  <c r="AB111" i="1"/>
  <c r="O111" i="1"/>
  <c r="C181" i="1"/>
  <c r="C44" i="37"/>
  <c r="C53" i="37"/>
  <c r="AA181" i="1"/>
  <c r="F54" i="37"/>
  <c r="F37" i="37"/>
  <c r="E37" i="37"/>
  <c r="E38" i="37"/>
  <c r="D37" i="37"/>
  <c r="B53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19" i="37"/>
  <c r="G18" i="37"/>
  <c r="G17" i="37"/>
  <c r="G16" i="37"/>
  <c r="G13" i="37"/>
  <c r="G12" i="37"/>
  <c r="G11" i="37"/>
  <c r="G8" i="37"/>
  <c r="G7" i="37"/>
  <c r="G6" i="37"/>
  <c r="G5" i="37"/>
  <c r="G4" i="37"/>
  <c r="M18" i="1"/>
  <c r="M34" i="1"/>
  <c r="M31" i="1"/>
  <c r="N29" i="1"/>
  <c r="B50" i="36"/>
  <c r="F35" i="5"/>
  <c r="E33" i="5"/>
  <c r="D33" i="5"/>
  <c r="F34" i="5"/>
  <c r="E29" i="5"/>
  <c r="B49" i="36"/>
  <c r="B24" i="36"/>
  <c r="G24" i="36"/>
  <c r="AA76" i="1"/>
  <c r="AA47" i="1"/>
  <c r="AA64" i="1"/>
  <c r="AA156" i="1"/>
  <c r="AA158" i="1"/>
  <c r="AA191" i="1"/>
  <c r="N47" i="1"/>
  <c r="AA43" i="1"/>
  <c r="N84" i="1"/>
  <c r="B48" i="36"/>
  <c r="E13" i="5"/>
  <c r="F13" i="5"/>
  <c r="AA111" i="1"/>
  <c r="AA10" i="1"/>
  <c r="B19" i="36"/>
  <c r="N111" i="1"/>
  <c r="B47" i="36"/>
  <c r="N43" i="1"/>
  <c r="B46" i="36"/>
  <c r="B53" i="36"/>
  <c r="B14" i="36"/>
  <c r="C14" i="36"/>
  <c r="B45" i="36"/>
  <c r="B9" i="36"/>
  <c r="C9" i="36"/>
  <c r="C37" i="36"/>
  <c r="B6" i="36"/>
  <c r="Z181" i="1"/>
  <c r="F54" i="36"/>
  <c r="F37" i="36"/>
  <c r="E37" i="36"/>
  <c r="E38" i="36"/>
  <c r="D37" i="36"/>
  <c r="G36" i="36"/>
  <c r="G35" i="36"/>
  <c r="G34" i="36"/>
  <c r="G33" i="36"/>
  <c r="G32" i="36"/>
  <c r="G31" i="36"/>
  <c r="G30" i="36"/>
  <c r="G29" i="36"/>
  <c r="G28" i="36"/>
  <c r="G27" i="36"/>
  <c r="G26" i="36"/>
  <c r="G23" i="36"/>
  <c r="G22" i="36"/>
  <c r="G21" i="36"/>
  <c r="G20" i="36"/>
  <c r="G19" i="36"/>
  <c r="G18" i="36"/>
  <c r="G17" i="36"/>
  <c r="G16" i="36"/>
  <c r="G15" i="36"/>
  <c r="G13" i="36"/>
  <c r="G12" i="36"/>
  <c r="G11" i="36"/>
  <c r="G10" i="36"/>
  <c r="G9" i="36"/>
  <c r="G8" i="36"/>
  <c r="G7" i="36"/>
  <c r="G5" i="36"/>
  <c r="G4" i="36"/>
  <c r="M38" i="1"/>
  <c r="B48" i="35"/>
  <c r="C25" i="35"/>
  <c r="B47" i="35"/>
  <c r="X47" i="1"/>
  <c r="X64" i="1"/>
  <c r="X156" i="1"/>
  <c r="X158" i="1"/>
  <c r="X191" i="1"/>
  <c r="X43" i="1"/>
  <c r="K47" i="1"/>
  <c r="K43" i="1"/>
  <c r="Z111" i="1"/>
  <c r="B20" i="35"/>
  <c r="Z47" i="1"/>
  <c r="M47" i="1"/>
  <c r="M64" i="1"/>
  <c r="M156" i="1"/>
  <c r="M158" i="1"/>
  <c r="M191" i="1"/>
  <c r="B46" i="35"/>
  <c r="M76" i="1"/>
  <c r="B15" i="35"/>
  <c r="G15" i="35"/>
  <c r="B45" i="35"/>
  <c r="B10" i="35"/>
  <c r="G10" i="35"/>
  <c r="G8" i="35"/>
  <c r="B37" i="35"/>
  <c r="B44" i="35"/>
  <c r="B6" i="35"/>
  <c r="G6" i="35"/>
  <c r="Y181" i="1"/>
  <c r="L181" i="1"/>
  <c r="F54" i="35"/>
  <c r="C53" i="35"/>
  <c r="F37" i="35"/>
  <c r="E37" i="35"/>
  <c r="E38" i="35"/>
  <c r="D37" i="35"/>
  <c r="G36" i="35"/>
  <c r="G35" i="35"/>
  <c r="G34" i="35"/>
  <c r="G33" i="35"/>
  <c r="G32" i="35"/>
  <c r="G31" i="35"/>
  <c r="G30" i="35"/>
  <c r="G29" i="35"/>
  <c r="G28" i="35"/>
  <c r="G27" i="35"/>
  <c r="G26" i="35"/>
  <c r="G24" i="35"/>
  <c r="G23" i="35"/>
  <c r="G22" i="35"/>
  <c r="G21" i="35"/>
  <c r="G20" i="35"/>
  <c r="G19" i="35"/>
  <c r="G18" i="35"/>
  <c r="G17" i="35"/>
  <c r="G16" i="35"/>
  <c r="G14" i="35"/>
  <c r="G13" i="35"/>
  <c r="G12" i="35"/>
  <c r="G11" i="35"/>
  <c r="G9" i="35"/>
  <c r="G7" i="35"/>
  <c r="G4" i="35"/>
  <c r="L38" i="1"/>
  <c r="L18" i="1"/>
  <c r="L25" i="1"/>
  <c r="L111" i="1"/>
  <c r="Y10" i="1"/>
  <c r="K181" i="1"/>
  <c r="AD173" i="1"/>
  <c r="AD174" i="1"/>
  <c r="AD175" i="1"/>
  <c r="AD176" i="1"/>
  <c r="AD177" i="1"/>
  <c r="AD178" i="1"/>
  <c r="AD179" i="1"/>
  <c r="L47" i="1"/>
  <c r="Y47" i="1"/>
  <c r="Y64" i="1"/>
  <c r="Y156" i="1"/>
  <c r="Y158" i="1"/>
  <c r="Y191" i="1"/>
  <c r="L76" i="1"/>
  <c r="L10" i="1"/>
  <c r="L16" i="1"/>
  <c r="Y43" i="1"/>
  <c r="Y111" i="1"/>
  <c r="Y68" i="1"/>
  <c r="Q12" i="1"/>
  <c r="AD12" i="1"/>
  <c r="X181" i="1"/>
  <c r="C44" i="34"/>
  <c r="C53" i="34"/>
  <c r="B5" i="34"/>
  <c r="F54" i="34"/>
  <c r="F37" i="34"/>
  <c r="E37" i="34"/>
  <c r="E38" i="34"/>
  <c r="D37" i="34"/>
  <c r="B53" i="34"/>
  <c r="C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4" i="34"/>
  <c r="K18" i="1"/>
  <c r="K25" i="1"/>
  <c r="B27" i="33"/>
  <c r="B51" i="33"/>
  <c r="B25" i="33"/>
  <c r="G25" i="33"/>
  <c r="B50" i="33"/>
  <c r="X111" i="1"/>
  <c r="B22" i="33"/>
  <c r="G22" i="33"/>
  <c r="K111" i="1"/>
  <c r="K84" i="1"/>
  <c r="K122" i="1"/>
  <c r="X76" i="1"/>
  <c r="K76" i="1"/>
  <c r="B48" i="33"/>
  <c r="B47" i="33"/>
  <c r="B45" i="33"/>
  <c r="B15" i="33"/>
  <c r="G15" i="33"/>
  <c r="B12" i="33"/>
  <c r="B11" i="33"/>
  <c r="G11" i="33"/>
  <c r="C53" i="33"/>
  <c r="B10" i="33"/>
  <c r="C10" i="33"/>
  <c r="C37" i="33"/>
  <c r="B5" i="33"/>
  <c r="W181" i="1"/>
  <c r="F54" i="33"/>
  <c r="F37" i="33"/>
  <c r="E37" i="33"/>
  <c r="E38" i="33"/>
  <c r="D37" i="33"/>
  <c r="G36" i="33"/>
  <c r="G35" i="33"/>
  <c r="G34" i="33"/>
  <c r="G33" i="33"/>
  <c r="G32" i="33"/>
  <c r="G31" i="33"/>
  <c r="G30" i="33"/>
  <c r="G29" i="33"/>
  <c r="G28" i="33"/>
  <c r="G27" i="33"/>
  <c r="G26" i="33"/>
  <c r="G24" i="33"/>
  <c r="G23" i="33"/>
  <c r="G21" i="33"/>
  <c r="G20" i="33"/>
  <c r="G19" i="33"/>
  <c r="G18" i="33"/>
  <c r="G17" i="33"/>
  <c r="G16" i="33"/>
  <c r="G14" i="33"/>
  <c r="G13" i="33"/>
  <c r="G12" i="33"/>
  <c r="G9" i="33"/>
  <c r="G8" i="33"/>
  <c r="G7" i="33"/>
  <c r="G6" i="33"/>
  <c r="G4" i="33"/>
  <c r="W47" i="1"/>
  <c r="W64" i="1"/>
  <c r="W156" i="1"/>
  <c r="W158" i="1"/>
  <c r="W191" i="1"/>
  <c r="W10" i="1"/>
  <c r="V24" i="1"/>
  <c r="V36" i="1"/>
  <c r="D23" i="1"/>
  <c r="W29" i="1"/>
  <c r="G29" i="1"/>
  <c r="H29" i="1"/>
  <c r="I29" i="1"/>
  <c r="J29" i="1"/>
  <c r="K29" i="1"/>
  <c r="L29" i="1"/>
  <c r="M29" i="1"/>
  <c r="O29" i="1"/>
  <c r="P29" i="1"/>
  <c r="V181" i="1"/>
  <c r="I181" i="1"/>
  <c r="B50" i="32"/>
  <c r="B49" i="32"/>
  <c r="J47" i="1"/>
  <c r="J64" i="1"/>
  <c r="J156" i="1"/>
  <c r="J158" i="1"/>
  <c r="J191" i="1"/>
  <c r="B19" i="32"/>
  <c r="G19" i="32"/>
  <c r="W76" i="1"/>
  <c r="J10" i="1"/>
  <c r="J16" i="1"/>
  <c r="B48" i="32"/>
  <c r="J76" i="1"/>
  <c r="C47" i="32"/>
  <c r="B14" i="32"/>
  <c r="C14" i="32"/>
  <c r="W43" i="1"/>
  <c r="J43" i="1"/>
  <c r="B46" i="32"/>
  <c r="C45" i="32"/>
  <c r="C53" i="32"/>
  <c r="B10" i="32"/>
  <c r="B37" i="32"/>
  <c r="C10" i="32"/>
  <c r="B44" i="32"/>
  <c r="B53" i="32"/>
  <c r="B7" i="32"/>
  <c r="G7" i="32"/>
  <c r="B5" i="32"/>
  <c r="F54" i="32"/>
  <c r="F37" i="32"/>
  <c r="E37" i="32"/>
  <c r="E38" i="32"/>
  <c r="D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8" i="32"/>
  <c r="G17" i="32"/>
  <c r="G16" i="32"/>
  <c r="G13" i="32"/>
  <c r="G12" i="32"/>
  <c r="G11" i="32"/>
  <c r="G8" i="32"/>
  <c r="G6" i="32"/>
  <c r="G5" i="32"/>
  <c r="G4" i="32"/>
  <c r="V29" i="1"/>
  <c r="B47" i="8"/>
  <c r="B46" i="8"/>
  <c r="I10" i="1"/>
  <c r="V47" i="1"/>
  <c r="V64" i="1"/>
  <c r="V156" i="1"/>
  <c r="V84" i="1"/>
  <c r="B19" i="8"/>
  <c r="I47" i="1"/>
  <c r="B45" i="8"/>
  <c r="V76" i="1"/>
  <c r="V68" i="1"/>
  <c r="U10" i="1"/>
  <c r="B14" i="8"/>
  <c r="V43" i="1"/>
  <c r="B44" i="8"/>
  <c r="B53" i="8"/>
  <c r="U147" i="18"/>
  <c r="B9" i="8"/>
  <c r="C9" i="8"/>
  <c r="G9" i="8"/>
  <c r="V10" i="1"/>
  <c r="V16" i="1"/>
  <c r="H68" i="1"/>
  <c r="D35" i="1"/>
  <c r="H18" i="1"/>
  <c r="H34" i="1"/>
  <c r="B49" i="31"/>
  <c r="B48" i="31"/>
  <c r="U47" i="1"/>
  <c r="H106" i="1"/>
  <c r="H47" i="1"/>
  <c r="H64" i="1"/>
  <c r="H156" i="1"/>
  <c r="H158" i="1"/>
  <c r="H191" i="1"/>
  <c r="B20" i="31"/>
  <c r="B47" i="31"/>
  <c r="C15" i="31"/>
  <c r="C37" i="31"/>
  <c r="B15" i="31"/>
  <c r="B46" i="31"/>
  <c r="Z76" i="1"/>
  <c r="B10" i="31"/>
  <c r="G10" i="31"/>
  <c r="W68" i="1"/>
  <c r="X68" i="1"/>
  <c r="Z68" i="1"/>
  <c r="AA68" i="1"/>
  <c r="AB68" i="1"/>
  <c r="AC68" i="1"/>
  <c r="X10" i="1"/>
  <c r="X16" i="1"/>
  <c r="Z10" i="1"/>
  <c r="AB10" i="1"/>
  <c r="AB16" i="1"/>
  <c r="AC10" i="1"/>
  <c r="AC16" i="1"/>
  <c r="B45" i="31"/>
  <c r="B53" i="31"/>
  <c r="K10" i="1"/>
  <c r="M10" i="1"/>
  <c r="M16" i="1"/>
  <c r="P10" i="1"/>
  <c r="I68" i="1"/>
  <c r="J68" i="1"/>
  <c r="K68" i="1"/>
  <c r="L68" i="1"/>
  <c r="M68" i="1"/>
  <c r="N68" i="1"/>
  <c r="O68" i="1"/>
  <c r="P68" i="1"/>
  <c r="B7" i="31"/>
  <c r="C44" i="31"/>
  <c r="C54" i="31"/>
  <c r="B5" i="31"/>
  <c r="F54" i="31"/>
  <c r="F37" i="31"/>
  <c r="F41" i="31"/>
  <c r="E37" i="31"/>
  <c r="D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J23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9" i="31"/>
  <c r="G8" i="31"/>
  <c r="G6" i="31"/>
  <c r="G4" i="31"/>
  <c r="B50" i="30"/>
  <c r="B49" i="30"/>
  <c r="T68" i="1"/>
  <c r="T96" i="1"/>
  <c r="B20" i="30"/>
  <c r="G20" i="30"/>
  <c r="B48" i="30"/>
  <c r="B15" i="30"/>
  <c r="B47" i="30"/>
  <c r="Q82" i="1"/>
  <c r="AD82" i="1"/>
  <c r="Q83" i="1"/>
  <c r="AD83" i="1"/>
  <c r="C10" i="30"/>
  <c r="B10" i="30"/>
  <c r="G10" i="30"/>
  <c r="B45" i="30"/>
  <c r="G68" i="1"/>
  <c r="C44" i="30"/>
  <c r="C53" i="30"/>
  <c r="C54" i="30"/>
  <c r="B6" i="30"/>
  <c r="F54" i="30"/>
  <c r="F37" i="30"/>
  <c r="F41" i="30"/>
  <c r="E37" i="30"/>
  <c r="D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J23" i="30"/>
  <c r="G23" i="30"/>
  <c r="G22" i="30"/>
  <c r="G21" i="30"/>
  <c r="G19" i="30"/>
  <c r="G18" i="30"/>
  <c r="G17" i="30"/>
  <c r="G16" i="30"/>
  <c r="G15" i="30"/>
  <c r="G14" i="30"/>
  <c r="G13" i="30"/>
  <c r="G12" i="30"/>
  <c r="G11" i="30"/>
  <c r="C37" i="30"/>
  <c r="G9" i="30"/>
  <c r="G8" i="30"/>
  <c r="G7" i="30"/>
  <c r="G6" i="30"/>
  <c r="G5" i="30"/>
  <c r="G4" i="30"/>
  <c r="Q35" i="1"/>
  <c r="AD35" i="1"/>
  <c r="S18" i="1"/>
  <c r="B52" i="29"/>
  <c r="B51" i="29"/>
  <c r="B22" i="29"/>
  <c r="G22" i="29"/>
  <c r="B20" i="29"/>
  <c r="G20" i="29"/>
  <c r="B48" i="29"/>
  <c r="B53" i="29"/>
  <c r="O76" i="1"/>
  <c r="P76" i="1"/>
  <c r="B49" i="29"/>
  <c r="E26" i="5"/>
  <c r="F26" i="5"/>
  <c r="B14" i="29"/>
  <c r="B15" i="29"/>
  <c r="C15" i="29"/>
  <c r="C13" i="29"/>
  <c r="B47" i="29"/>
  <c r="Q73" i="1"/>
  <c r="AD73" i="1"/>
  <c r="F24" i="1"/>
  <c r="B10" i="29"/>
  <c r="C10" i="29"/>
  <c r="C46" i="29"/>
  <c r="C53" i="29"/>
  <c r="B44" i="29"/>
  <c r="F54" i="29"/>
  <c r="F37" i="29"/>
  <c r="F41" i="29"/>
  <c r="E37" i="29"/>
  <c r="D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J23" i="29"/>
  <c r="G23" i="29"/>
  <c r="G21" i="29"/>
  <c r="G19" i="29"/>
  <c r="G18" i="29"/>
  <c r="G17" i="29"/>
  <c r="G16" i="29"/>
  <c r="G15" i="29"/>
  <c r="G13" i="29"/>
  <c r="G12" i="29"/>
  <c r="G11" i="29"/>
  <c r="G9" i="29"/>
  <c r="G8" i="29"/>
  <c r="G7" i="29"/>
  <c r="G6" i="29"/>
  <c r="G5" i="29"/>
  <c r="G4" i="29"/>
  <c r="B47" i="28"/>
  <c r="B17" i="28"/>
  <c r="E111" i="1"/>
  <c r="R111" i="1"/>
  <c r="Q111" i="1"/>
  <c r="B46" i="28"/>
  <c r="C12" i="28"/>
  <c r="G12" i="28"/>
  <c r="B12" i="28"/>
  <c r="C45" i="28"/>
  <c r="Q172" i="1"/>
  <c r="AD172" i="1"/>
  <c r="B44" i="28"/>
  <c r="B53" i="28"/>
  <c r="B7" i="28"/>
  <c r="C7" i="28"/>
  <c r="Q25" i="1"/>
  <c r="R29" i="1"/>
  <c r="W111" i="1"/>
  <c r="D73" i="1"/>
  <c r="D72" i="1"/>
  <c r="AD72" i="1"/>
  <c r="AD159" i="1"/>
  <c r="X57" i="1"/>
  <c r="Y57" i="1"/>
  <c r="Z57" i="1"/>
  <c r="AA57" i="1"/>
  <c r="AB57" i="1"/>
  <c r="AC57" i="1"/>
  <c r="S57" i="1"/>
  <c r="T57" i="1"/>
  <c r="U57" i="1"/>
  <c r="V57" i="1"/>
  <c r="W57" i="1"/>
  <c r="R57" i="1"/>
  <c r="Q57" i="1"/>
  <c r="AD57" i="1"/>
  <c r="F57" i="1"/>
  <c r="G57" i="1"/>
  <c r="H57" i="1"/>
  <c r="I57" i="1"/>
  <c r="J57" i="1"/>
  <c r="K57" i="1"/>
  <c r="L57" i="1"/>
  <c r="M57" i="1"/>
  <c r="N57" i="1"/>
  <c r="O57" i="1"/>
  <c r="P57" i="1"/>
  <c r="E57" i="1"/>
  <c r="E47" i="1"/>
  <c r="E64" i="1"/>
  <c r="E156" i="1"/>
  <c r="E158" i="1"/>
  <c r="E191" i="1"/>
  <c r="I43" i="1"/>
  <c r="I64" i="1"/>
  <c r="I156" i="1"/>
  <c r="I158" i="1"/>
  <c r="I191" i="1"/>
  <c r="M43" i="1"/>
  <c r="P43" i="1"/>
  <c r="R47" i="1"/>
  <c r="Q47" i="1"/>
  <c r="F54" i="28"/>
  <c r="F37" i="28"/>
  <c r="F41" i="28"/>
  <c r="E37" i="28"/>
  <c r="D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J23" i="28"/>
  <c r="G23" i="28"/>
  <c r="G22" i="28"/>
  <c r="G21" i="28"/>
  <c r="G20" i="28"/>
  <c r="G19" i="28"/>
  <c r="G18" i="28"/>
  <c r="G17" i="28"/>
  <c r="G16" i="28"/>
  <c r="G15" i="28"/>
  <c r="G14" i="28"/>
  <c r="G13" i="28"/>
  <c r="G11" i="28"/>
  <c r="G10" i="28"/>
  <c r="G9" i="28"/>
  <c r="G8" i="28"/>
  <c r="G6" i="28"/>
  <c r="G5" i="28"/>
  <c r="G4" i="28"/>
  <c r="P84" i="1"/>
  <c r="B48" i="27"/>
  <c r="B47" i="27"/>
  <c r="B46" i="27"/>
  <c r="C54" i="27"/>
  <c r="B17" i="27"/>
  <c r="G17" i="27"/>
  <c r="AC24" i="1"/>
  <c r="P24" i="1"/>
  <c r="P18" i="1"/>
  <c r="P34" i="1"/>
  <c r="B45" i="27"/>
  <c r="B9" i="27"/>
  <c r="C9" i="27"/>
  <c r="C37" i="27"/>
  <c r="B44" i="27"/>
  <c r="B53" i="27"/>
  <c r="B8" i="27"/>
  <c r="B7" i="27"/>
  <c r="F54" i="27"/>
  <c r="C53" i="27"/>
  <c r="F37" i="27"/>
  <c r="F41" i="27"/>
  <c r="E37" i="27"/>
  <c r="D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J23" i="27"/>
  <c r="G23" i="27"/>
  <c r="G22" i="27"/>
  <c r="G21" i="27"/>
  <c r="G20" i="27"/>
  <c r="G19" i="27"/>
  <c r="G18" i="27"/>
  <c r="G16" i="27"/>
  <c r="G15" i="27"/>
  <c r="G14" i="27"/>
  <c r="G13" i="27"/>
  <c r="G12" i="27"/>
  <c r="G10" i="27"/>
  <c r="G8" i="27"/>
  <c r="G6" i="27"/>
  <c r="G5" i="27"/>
  <c r="G4" i="27"/>
  <c r="B48" i="26"/>
  <c r="B47" i="26"/>
  <c r="B19" i="26"/>
  <c r="B46" i="26"/>
  <c r="B45" i="26"/>
  <c r="B16" i="26"/>
  <c r="G16" i="26"/>
  <c r="B15" i="26"/>
  <c r="C15" i="26"/>
  <c r="B11" i="26"/>
  <c r="C11" i="26"/>
  <c r="G11" i="26"/>
  <c r="B44" i="26"/>
  <c r="O18" i="1"/>
  <c r="O25" i="1"/>
  <c r="C8" i="26"/>
  <c r="B7" i="26"/>
  <c r="AB24" i="1"/>
  <c r="AB36" i="1"/>
  <c r="O24" i="1"/>
  <c r="O36" i="1"/>
  <c r="F54" i="26"/>
  <c r="C54" i="26"/>
  <c r="C53" i="26"/>
  <c r="F37" i="26"/>
  <c r="F41" i="26"/>
  <c r="E37" i="26"/>
  <c r="D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J23" i="26"/>
  <c r="G23" i="26"/>
  <c r="G22" i="26"/>
  <c r="G21" i="26"/>
  <c r="G20" i="26"/>
  <c r="G19" i="26"/>
  <c r="G18" i="26"/>
  <c r="G17" i="26"/>
  <c r="G14" i="26"/>
  <c r="G13" i="26"/>
  <c r="G12" i="26"/>
  <c r="G10" i="26"/>
  <c r="G9" i="26"/>
  <c r="G6" i="26"/>
  <c r="G5" i="26"/>
  <c r="G4" i="26"/>
  <c r="B51" i="25"/>
  <c r="B50" i="25"/>
  <c r="B21" i="25"/>
  <c r="G21" i="25"/>
  <c r="B49" i="25"/>
  <c r="B20" i="25"/>
  <c r="G20" i="25"/>
  <c r="B19" i="25"/>
  <c r="B17" i="25"/>
  <c r="B48" i="25"/>
  <c r="C15" i="25"/>
  <c r="B15" i="25"/>
  <c r="AA24" i="1"/>
  <c r="AA36" i="1"/>
  <c r="B47" i="25"/>
  <c r="B53" i="25"/>
  <c r="B46" i="25"/>
  <c r="B10" i="25"/>
  <c r="G10" i="25"/>
  <c r="C10" i="25"/>
  <c r="B44" i="25"/>
  <c r="B5" i="25"/>
  <c r="F54" i="25"/>
  <c r="C53" i="25"/>
  <c r="F37" i="25"/>
  <c r="E37" i="25"/>
  <c r="D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J23" i="25"/>
  <c r="G23" i="25"/>
  <c r="G22" i="25"/>
  <c r="G19" i="25"/>
  <c r="G18" i="25"/>
  <c r="G17" i="25"/>
  <c r="G16" i="25"/>
  <c r="G14" i="25"/>
  <c r="G13" i="25"/>
  <c r="G12" i="25"/>
  <c r="G11" i="25"/>
  <c r="C37" i="25"/>
  <c r="G9" i="25"/>
  <c r="G8" i="25"/>
  <c r="G7" i="25"/>
  <c r="G6" i="25"/>
  <c r="G4" i="25"/>
  <c r="B50" i="24"/>
  <c r="B49" i="24"/>
  <c r="B20" i="24"/>
  <c r="G20" i="24"/>
  <c r="B48" i="24"/>
  <c r="B15" i="24"/>
  <c r="B45" i="24"/>
  <c r="Z24" i="1"/>
  <c r="Z36" i="1"/>
  <c r="M24" i="1"/>
  <c r="B10" i="24"/>
  <c r="C10" i="24"/>
  <c r="C37" i="24"/>
  <c r="B44" i="24"/>
  <c r="B53" i="24"/>
  <c r="C44" i="24"/>
  <c r="C54" i="24"/>
  <c r="B5" i="24"/>
  <c r="G5" i="24"/>
  <c r="F54" i="24"/>
  <c r="F37" i="24"/>
  <c r="F41" i="24"/>
  <c r="E37" i="24"/>
  <c r="D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J23" i="24"/>
  <c r="G23" i="24"/>
  <c r="G22" i="24"/>
  <c r="G21" i="24"/>
  <c r="G19" i="24"/>
  <c r="G18" i="24"/>
  <c r="G17" i="24"/>
  <c r="G16" i="24"/>
  <c r="G15" i="24"/>
  <c r="G14" i="24"/>
  <c r="G13" i="24"/>
  <c r="G12" i="24"/>
  <c r="G11" i="24"/>
  <c r="G9" i="24"/>
  <c r="G8" i="24"/>
  <c r="G7" i="24"/>
  <c r="G6" i="24"/>
  <c r="G4" i="24"/>
  <c r="B49" i="23"/>
  <c r="W96" i="1"/>
  <c r="K96" i="1"/>
  <c r="D103" i="1"/>
  <c r="Q103" i="1"/>
  <c r="Q104" i="1"/>
  <c r="B48" i="23"/>
  <c r="B24" i="23"/>
  <c r="G24" i="23"/>
  <c r="B23" i="23"/>
  <c r="B47" i="23"/>
  <c r="B18" i="23"/>
  <c r="C18" i="23"/>
  <c r="B17" i="23"/>
  <c r="L96" i="1"/>
  <c r="B46" i="23"/>
  <c r="B16" i="23"/>
  <c r="G16" i="23"/>
  <c r="B13" i="23"/>
  <c r="B37" i="23"/>
  <c r="B45" i="23"/>
  <c r="C45" i="23"/>
  <c r="C54" i="23"/>
  <c r="B8" i="23"/>
  <c r="C8" i="23"/>
  <c r="G8" i="23"/>
  <c r="B44" i="23"/>
  <c r="B53" i="23"/>
  <c r="C44" i="23"/>
  <c r="C53" i="23"/>
  <c r="C5" i="23"/>
  <c r="F54" i="23"/>
  <c r="F37" i="23"/>
  <c r="E37" i="23"/>
  <c r="D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J23" i="23"/>
  <c r="G22" i="23"/>
  <c r="G21" i="23"/>
  <c r="G20" i="23"/>
  <c r="G19" i="23"/>
  <c r="G17" i="23"/>
  <c r="G15" i="23"/>
  <c r="G14" i="23"/>
  <c r="G12" i="23"/>
  <c r="G11" i="23"/>
  <c r="G9" i="23"/>
  <c r="G7" i="23"/>
  <c r="G6" i="23"/>
  <c r="G5" i="23"/>
  <c r="G4" i="23"/>
  <c r="C23" i="22"/>
  <c r="B23" i="22"/>
  <c r="G23" i="22"/>
  <c r="B45" i="22"/>
  <c r="B10" i="22"/>
  <c r="C9" i="22"/>
  <c r="B44" i="22"/>
  <c r="B53" i="22"/>
  <c r="B6" i="22"/>
  <c r="G6" i="22"/>
  <c r="C5" i="22"/>
  <c r="G5" i="22"/>
  <c r="F54" i="22"/>
  <c r="C54" i="22"/>
  <c r="C53" i="22"/>
  <c r="F37" i="22"/>
  <c r="F41" i="22"/>
  <c r="E37" i="22"/>
  <c r="D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J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9" i="22"/>
  <c r="G8" i="22"/>
  <c r="G7" i="22"/>
  <c r="G4" i="22"/>
  <c r="B52" i="21"/>
  <c r="Q144" i="1"/>
  <c r="Q148" i="1"/>
  <c r="J147" i="1"/>
  <c r="B51" i="21"/>
  <c r="B20" i="21"/>
  <c r="C20" i="21"/>
  <c r="G20" i="21"/>
  <c r="B49" i="21"/>
  <c r="B50" i="21"/>
  <c r="B53" i="21"/>
  <c r="W24" i="1"/>
  <c r="W36" i="1"/>
  <c r="J24" i="1"/>
  <c r="J36" i="1"/>
  <c r="J39" i="1"/>
  <c r="C48" i="21"/>
  <c r="B48" i="21"/>
  <c r="B15" i="21"/>
  <c r="G15" i="21"/>
  <c r="C15" i="21"/>
  <c r="B47" i="21"/>
  <c r="B46" i="21"/>
  <c r="B12" i="21"/>
  <c r="C12" i="21"/>
  <c r="B45" i="21"/>
  <c r="C45" i="21"/>
  <c r="C53" i="21"/>
  <c r="J84" i="1"/>
  <c r="C44" i="21"/>
  <c r="B44" i="21"/>
  <c r="C6" i="21"/>
  <c r="F54" i="21"/>
  <c r="F37" i="21"/>
  <c r="F41" i="21"/>
  <c r="E37" i="21"/>
  <c r="D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J23" i="21"/>
  <c r="G23" i="21"/>
  <c r="G22" i="21"/>
  <c r="G21" i="21"/>
  <c r="G19" i="21"/>
  <c r="G18" i="21"/>
  <c r="G17" i="21"/>
  <c r="G16" i="21"/>
  <c r="G14" i="21"/>
  <c r="G13" i="21"/>
  <c r="G11" i="21"/>
  <c r="G10" i="21"/>
  <c r="G9" i="21"/>
  <c r="G8" i="21"/>
  <c r="G7" i="21"/>
  <c r="G5" i="21"/>
  <c r="G4" i="21"/>
  <c r="B52" i="20"/>
  <c r="B51" i="20"/>
  <c r="C21" i="20"/>
  <c r="I84" i="1"/>
  <c r="I122" i="1"/>
  <c r="B50" i="20"/>
  <c r="C16" i="20"/>
  <c r="B16" i="20"/>
  <c r="G16" i="20"/>
  <c r="B49" i="20"/>
  <c r="B48" i="20"/>
  <c r="B13" i="20"/>
  <c r="B10" i="20"/>
  <c r="B47" i="20"/>
  <c r="G26" i="20"/>
  <c r="G27" i="20"/>
  <c r="G28" i="20"/>
  <c r="G29" i="20"/>
  <c r="G30" i="20"/>
  <c r="G31" i="20"/>
  <c r="G32" i="20"/>
  <c r="G33" i="20"/>
  <c r="G34" i="20"/>
  <c r="G35" i="20"/>
  <c r="G36" i="20"/>
  <c r="B11" i="20"/>
  <c r="C11" i="20"/>
  <c r="G10" i="20"/>
  <c r="B46" i="20"/>
  <c r="B45" i="20"/>
  <c r="B7" i="20"/>
  <c r="C7" i="20"/>
  <c r="G7" i="20"/>
  <c r="C37" i="20"/>
  <c r="B44" i="20"/>
  <c r="B5" i="20"/>
  <c r="F54" i="20"/>
  <c r="C54" i="20"/>
  <c r="C53" i="20"/>
  <c r="F37" i="20"/>
  <c r="F41" i="20"/>
  <c r="E37" i="20"/>
  <c r="D37" i="20"/>
  <c r="G25" i="20"/>
  <c r="G24" i="20"/>
  <c r="J23" i="20"/>
  <c r="G23" i="20"/>
  <c r="G22" i="20"/>
  <c r="G21" i="20"/>
  <c r="G20" i="20"/>
  <c r="G19" i="20"/>
  <c r="G18" i="20"/>
  <c r="G17" i="20"/>
  <c r="G15" i="20"/>
  <c r="G14" i="20"/>
  <c r="G13" i="20"/>
  <c r="G12" i="20"/>
  <c r="G11" i="20"/>
  <c r="G9" i="20"/>
  <c r="G8" i="20"/>
  <c r="G6" i="20"/>
  <c r="G5" i="20"/>
  <c r="G4" i="20"/>
  <c r="B5" i="6"/>
  <c r="B10" i="6"/>
  <c r="C10" i="6"/>
  <c r="B15" i="6"/>
  <c r="C15" i="6"/>
  <c r="B17" i="6"/>
  <c r="B19" i="6"/>
  <c r="G19" i="6"/>
  <c r="B20" i="6"/>
  <c r="B21" i="6"/>
  <c r="B44" i="6"/>
  <c r="B46" i="6"/>
  <c r="B48" i="6"/>
  <c r="B50" i="6"/>
  <c r="B51" i="6"/>
  <c r="B52" i="6"/>
  <c r="J23" i="6"/>
  <c r="H84" i="1"/>
  <c r="H122" i="1"/>
  <c r="H135" i="1"/>
  <c r="H154" i="1"/>
  <c r="C54" i="6"/>
  <c r="C53" i="6"/>
  <c r="U135" i="1"/>
  <c r="G21" i="6"/>
  <c r="G4" i="19"/>
  <c r="G5" i="19"/>
  <c r="G6" i="19"/>
  <c r="B7" i="19"/>
  <c r="G7" i="19"/>
  <c r="G8" i="19"/>
  <c r="B9" i="19"/>
  <c r="G9" i="19"/>
  <c r="G37" i="19"/>
  <c r="B10" i="19"/>
  <c r="G10" i="19"/>
  <c r="C11" i="19"/>
  <c r="G11" i="19"/>
  <c r="G12" i="19"/>
  <c r="G13" i="19"/>
  <c r="G14" i="19"/>
  <c r="B15" i="19"/>
  <c r="G15" i="19"/>
  <c r="C15" i="19"/>
  <c r="B16" i="19"/>
  <c r="G16" i="19"/>
  <c r="B17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C37" i="19"/>
  <c r="D37" i="19"/>
  <c r="E37" i="19"/>
  <c r="F37" i="19"/>
  <c r="B44" i="19"/>
  <c r="B45" i="19"/>
  <c r="B47" i="19"/>
  <c r="B48" i="19"/>
  <c r="B49" i="19"/>
  <c r="B50" i="19"/>
  <c r="C53" i="19"/>
  <c r="C54" i="19"/>
  <c r="F54" i="19"/>
  <c r="F41" i="19"/>
  <c r="AD40" i="1"/>
  <c r="I38" i="1"/>
  <c r="J38" i="1"/>
  <c r="K38" i="1"/>
  <c r="N38" i="1"/>
  <c r="P38" i="1"/>
  <c r="G16" i="6"/>
  <c r="C52" i="4"/>
  <c r="R96" i="1"/>
  <c r="R122" i="1"/>
  <c r="R157" i="1"/>
  <c r="S96" i="1"/>
  <c r="E96" i="1"/>
  <c r="E122" i="1"/>
  <c r="E157" i="1"/>
  <c r="F96" i="1"/>
  <c r="B50" i="4"/>
  <c r="C53" i="4"/>
  <c r="B21" i="4"/>
  <c r="C21" i="4"/>
  <c r="B49" i="4"/>
  <c r="B16" i="4"/>
  <c r="B48" i="4"/>
  <c r="B17" i="4"/>
  <c r="C17" i="4"/>
  <c r="B47" i="4"/>
  <c r="F84" i="1"/>
  <c r="B13" i="4"/>
  <c r="C13" i="4"/>
  <c r="B45" i="4"/>
  <c r="B46" i="4"/>
  <c r="B44" i="4"/>
  <c r="B52" i="4"/>
  <c r="R147" i="18"/>
  <c r="R148" i="18"/>
  <c r="C7" i="4"/>
  <c r="C36" i="4"/>
  <c r="B7" i="4"/>
  <c r="B43" i="4"/>
  <c r="F15" i="5"/>
  <c r="F16" i="5"/>
  <c r="F18" i="5"/>
  <c r="F32" i="5"/>
  <c r="F20" i="5"/>
  <c r="B53" i="16"/>
  <c r="D102" i="1"/>
  <c r="O53" i="1"/>
  <c r="P53" i="1"/>
  <c r="AB8" i="18"/>
  <c r="O59" i="18"/>
  <c r="AB49" i="18"/>
  <c r="AB48" i="18"/>
  <c r="AB10" i="18"/>
  <c r="F27" i="5"/>
  <c r="O8" i="18"/>
  <c r="O48" i="18"/>
  <c r="O50" i="18"/>
  <c r="C50" i="18"/>
  <c r="O10" i="18"/>
  <c r="O11" i="18"/>
  <c r="B155" i="18"/>
  <c r="B154" i="18"/>
  <c r="B156" i="18"/>
  <c r="B148" i="18"/>
  <c r="C146" i="18"/>
  <c r="AC146" i="18"/>
  <c r="C145" i="18"/>
  <c r="AC145" i="18"/>
  <c r="C144" i="18"/>
  <c r="AC144" i="18"/>
  <c r="C143" i="18"/>
  <c r="AC143" i="18"/>
  <c r="C142" i="18"/>
  <c r="AC142" i="18"/>
  <c r="AC141" i="18"/>
  <c r="C141" i="18"/>
  <c r="C140" i="18"/>
  <c r="AC140" i="18"/>
  <c r="AC139" i="18"/>
  <c r="AC138" i="18"/>
  <c r="AC137" i="18"/>
  <c r="AC136" i="18"/>
  <c r="B132" i="18"/>
  <c r="G131" i="18"/>
  <c r="AF129" i="18"/>
  <c r="AG127" i="18"/>
  <c r="B127" i="18"/>
  <c r="R122" i="18"/>
  <c r="Q122" i="18"/>
  <c r="E122" i="18"/>
  <c r="D122" i="18"/>
  <c r="B122" i="18"/>
  <c r="B125" i="18"/>
  <c r="P120" i="18"/>
  <c r="C120" i="18"/>
  <c r="AC120" i="18"/>
  <c r="P118" i="18"/>
  <c r="C118" i="18"/>
  <c r="AC118" i="18"/>
  <c r="AB115" i="18"/>
  <c r="AA115" i="18"/>
  <c r="Z115" i="18"/>
  <c r="Y115" i="18"/>
  <c r="X115" i="18"/>
  <c r="W115" i="18"/>
  <c r="V115" i="18"/>
  <c r="U115" i="18"/>
  <c r="U122" i="18"/>
  <c r="T115" i="18"/>
  <c r="T122" i="18"/>
  <c r="S115" i="18"/>
  <c r="O115" i="18"/>
  <c r="N115" i="18"/>
  <c r="H115" i="18"/>
  <c r="G115" i="18"/>
  <c r="F115" i="18"/>
  <c r="C115" i="18"/>
  <c r="AB113" i="18"/>
  <c r="P113" i="18"/>
  <c r="O113" i="18"/>
  <c r="C113" i="18"/>
  <c r="P112" i="18"/>
  <c r="P111" i="18"/>
  <c r="C111" i="18"/>
  <c r="AA110" i="18"/>
  <c r="C110" i="18"/>
  <c r="P109" i="18"/>
  <c r="C109" i="18"/>
  <c r="P108" i="18"/>
  <c r="C108" i="18"/>
  <c r="AB107" i="18"/>
  <c r="P107" i="18"/>
  <c r="O107" i="18"/>
  <c r="C107" i="18"/>
  <c r="Z104" i="18"/>
  <c r="Z122" i="18"/>
  <c r="Y104" i="18"/>
  <c r="Y122" i="18"/>
  <c r="X104" i="18"/>
  <c r="X122" i="18"/>
  <c r="W104" i="18"/>
  <c r="W122" i="18"/>
  <c r="V104" i="18"/>
  <c r="V122" i="18"/>
  <c r="U104" i="18"/>
  <c r="T104" i="18"/>
  <c r="S104" i="18"/>
  <c r="S122" i="18"/>
  <c r="O104" i="18"/>
  <c r="O122" i="18"/>
  <c r="N104" i="18"/>
  <c r="N122" i="18"/>
  <c r="M104" i="18"/>
  <c r="M122" i="18"/>
  <c r="L104" i="18"/>
  <c r="L122" i="18"/>
  <c r="K104" i="18"/>
  <c r="K122" i="18"/>
  <c r="J104" i="18"/>
  <c r="J122" i="18"/>
  <c r="I104" i="18"/>
  <c r="I122" i="18"/>
  <c r="H104" i="18"/>
  <c r="H122" i="18"/>
  <c r="G104" i="18"/>
  <c r="G122" i="18"/>
  <c r="F104" i="18"/>
  <c r="P101" i="18"/>
  <c r="C101" i="18"/>
  <c r="B101" i="18"/>
  <c r="AC100" i="18"/>
  <c r="AC99" i="18"/>
  <c r="AC98" i="18"/>
  <c r="AC97" i="18"/>
  <c r="AC96" i="18"/>
  <c r="AC95" i="18"/>
  <c r="AC101" i="18"/>
  <c r="AC94" i="18"/>
  <c r="AC93" i="18"/>
  <c r="D91" i="18"/>
  <c r="D125" i="18"/>
  <c r="B91" i="18"/>
  <c r="V90" i="18"/>
  <c r="C90" i="18"/>
  <c r="P89" i="18"/>
  <c r="C89" i="18"/>
  <c r="P88" i="18"/>
  <c r="C88" i="18"/>
  <c r="P87" i="18"/>
  <c r="C87" i="18"/>
  <c r="P86" i="18"/>
  <c r="C86" i="18"/>
  <c r="AB85" i="18"/>
  <c r="AB82" i="18"/>
  <c r="AA85" i="18"/>
  <c r="Z85" i="18"/>
  <c r="Y85" i="18"/>
  <c r="O85" i="18"/>
  <c r="O82" i="18"/>
  <c r="N85" i="18"/>
  <c r="N82" i="18"/>
  <c r="M85" i="18"/>
  <c r="P84" i="18"/>
  <c r="C84" i="18"/>
  <c r="P83" i="18"/>
  <c r="C83" i="18"/>
  <c r="Z82" i="18"/>
  <c r="X82" i="18"/>
  <c r="W82" i="18"/>
  <c r="U82" i="18"/>
  <c r="T82" i="18"/>
  <c r="S82" i="18"/>
  <c r="L82" i="18"/>
  <c r="K82" i="18"/>
  <c r="J82" i="18"/>
  <c r="I82" i="18"/>
  <c r="H82" i="18"/>
  <c r="G82" i="18"/>
  <c r="F82" i="18"/>
  <c r="AC81" i="18"/>
  <c r="S79" i="18"/>
  <c r="P79" i="18"/>
  <c r="F79" i="18"/>
  <c r="F77" i="18"/>
  <c r="AB77" i="18"/>
  <c r="AA77" i="18"/>
  <c r="Z77" i="18"/>
  <c r="Y77" i="18"/>
  <c r="X77" i="18"/>
  <c r="W77" i="18"/>
  <c r="V77" i="18"/>
  <c r="U77" i="18"/>
  <c r="T77" i="18"/>
  <c r="S77" i="18"/>
  <c r="O77" i="18"/>
  <c r="N77" i="18"/>
  <c r="M77" i="18"/>
  <c r="L77" i="18"/>
  <c r="K77" i="18"/>
  <c r="J77" i="18"/>
  <c r="I77" i="18"/>
  <c r="H77" i="18"/>
  <c r="G77" i="18"/>
  <c r="AB73" i="18"/>
  <c r="AA73" i="18"/>
  <c r="P73" i="18"/>
  <c r="O73" i="18"/>
  <c r="P71" i="18"/>
  <c r="C71" i="18"/>
  <c r="T70" i="18"/>
  <c r="T68" i="18"/>
  <c r="C70" i="18"/>
  <c r="AA69" i="18"/>
  <c r="N69" i="18"/>
  <c r="N68" i="18"/>
  <c r="AB68" i="18"/>
  <c r="Z68" i="18"/>
  <c r="Y68" i="18"/>
  <c r="X68" i="18"/>
  <c r="W68" i="18"/>
  <c r="V68" i="18"/>
  <c r="U68" i="18"/>
  <c r="S68" i="18"/>
  <c r="M68" i="18"/>
  <c r="L68" i="18"/>
  <c r="K68" i="18"/>
  <c r="J68" i="18"/>
  <c r="I68" i="18"/>
  <c r="H68" i="18"/>
  <c r="G68" i="18"/>
  <c r="F68" i="18"/>
  <c r="P67" i="18"/>
  <c r="C67" i="18"/>
  <c r="AC67" i="18"/>
  <c r="P66" i="18"/>
  <c r="C66" i="18"/>
  <c r="AC66" i="18"/>
  <c r="P65" i="18"/>
  <c r="C65" i="18"/>
  <c r="AC65" i="18"/>
  <c r="P64" i="18"/>
  <c r="C64" i="18"/>
  <c r="AC64" i="18"/>
  <c r="P63" i="18"/>
  <c r="C63" i="18"/>
  <c r="AB62" i="18"/>
  <c r="P62" i="18"/>
  <c r="O62" i="18"/>
  <c r="C62" i="18"/>
  <c r="V61" i="18"/>
  <c r="P61" i="18"/>
  <c r="I61" i="18"/>
  <c r="C61" i="18"/>
  <c r="AC61" i="18"/>
  <c r="AB60" i="18"/>
  <c r="P60" i="18"/>
  <c r="O60" i="18"/>
  <c r="X59" i="18"/>
  <c r="V59" i="18"/>
  <c r="K59" i="18"/>
  <c r="K56" i="18"/>
  <c r="I59" i="18"/>
  <c r="P58" i="18"/>
  <c r="C58" i="18"/>
  <c r="AC58" i="18"/>
  <c r="P57" i="18"/>
  <c r="C57" i="18"/>
  <c r="AC57" i="18"/>
  <c r="AB56" i="18"/>
  <c r="AA56" i="18"/>
  <c r="Z56" i="18"/>
  <c r="Y56" i="18"/>
  <c r="X56" i="18"/>
  <c r="W56" i="18"/>
  <c r="U56" i="18"/>
  <c r="T56" i="18"/>
  <c r="S56" i="18"/>
  <c r="N56" i="18"/>
  <c r="M56" i="18"/>
  <c r="L56" i="18"/>
  <c r="J56" i="18"/>
  <c r="I56" i="18"/>
  <c r="H56" i="18"/>
  <c r="G56" i="18"/>
  <c r="AB55" i="18"/>
  <c r="AA55" i="18"/>
  <c r="Z55" i="18"/>
  <c r="Y55" i="18"/>
  <c r="X55" i="18"/>
  <c r="P55" i="18"/>
  <c r="W55" i="18"/>
  <c r="V55" i="18"/>
  <c r="U55" i="18"/>
  <c r="T55" i="18"/>
  <c r="S55" i="18"/>
  <c r="O55" i="18"/>
  <c r="N55" i="18"/>
  <c r="M55" i="18"/>
  <c r="L55" i="18"/>
  <c r="K55" i="18"/>
  <c r="J55" i="18"/>
  <c r="I55" i="18"/>
  <c r="H55" i="18"/>
  <c r="G55" i="18"/>
  <c r="F55" i="18"/>
  <c r="P51" i="18"/>
  <c r="P127" i="18"/>
  <c r="C51" i="18"/>
  <c r="C127" i="18"/>
  <c r="Y50" i="18"/>
  <c r="W50" i="18"/>
  <c r="U50" i="18"/>
  <c r="S50" i="18"/>
  <c r="M50" i="18"/>
  <c r="L50" i="18"/>
  <c r="H50" i="18"/>
  <c r="G50" i="18"/>
  <c r="P49" i="18"/>
  <c r="L49" i="18"/>
  <c r="C49" i="18"/>
  <c r="AC49" i="18"/>
  <c r="AA48" i="18"/>
  <c r="Z48" i="18"/>
  <c r="Z91" i="18"/>
  <c r="Z125" i="18"/>
  <c r="Y48" i="18"/>
  <c r="X48" i="18"/>
  <c r="X91" i="18"/>
  <c r="W48" i="18"/>
  <c r="V48" i="18"/>
  <c r="U48" i="18"/>
  <c r="T48" i="18"/>
  <c r="S48" i="18"/>
  <c r="R48" i="18"/>
  <c r="R91" i="18"/>
  <c r="R125" i="18"/>
  <c r="R126" i="18"/>
  <c r="Q48" i="18"/>
  <c r="N48" i="18"/>
  <c r="N91" i="18"/>
  <c r="N125" i="18"/>
  <c r="N126" i="18"/>
  <c r="N158" i="18"/>
  <c r="M48" i="18"/>
  <c r="L48" i="18"/>
  <c r="L91" i="18"/>
  <c r="L125" i="18"/>
  <c r="K48" i="18"/>
  <c r="J48" i="18"/>
  <c r="J91" i="18"/>
  <c r="I48" i="18"/>
  <c r="H48" i="18"/>
  <c r="G48" i="18"/>
  <c r="G91" i="18"/>
  <c r="G125" i="18"/>
  <c r="F48" i="18"/>
  <c r="E48" i="18"/>
  <c r="AA44" i="18"/>
  <c r="P44" i="18"/>
  <c r="C44" i="18"/>
  <c r="AA43" i="18"/>
  <c r="P43" i="18"/>
  <c r="C43" i="18"/>
  <c r="P42" i="18"/>
  <c r="N42" i="18"/>
  <c r="N39" i="18"/>
  <c r="C42" i="18"/>
  <c r="AA41" i="18"/>
  <c r="P41" i="18"/>
  <c r="C41" i="18"/>
  <c r="P40" i="18"/>
  <c r="C40" i="18"/>
  <c r="AB39" i="18"/>
  <c r="X39" i="18"/>
  <c r="W39" i="18"/>
  <c r="W45" i="18"/>
  <c r="T39" i="18"/>
  <c r="O39" i="18"/>
  <c r="K39" i="18"/>
  <c r="J39" i="18"/>
  <c r="G39" i="18"/>
  <c r="C39" i="18"/>
  <c r="P38" i="18"/>
  <c r="P37" i="18"/>
  <c r="AB36" i="18"/>
  <c r="AA36" i="18"/>
  <c r="P36" i="18"/>
  <c r="O36" i="18"/>
  <c r="N36" i="18"/>
  <c r="N45" i="18"/>
  <c r="N124" i="18"/>
  <c r="C36" i="18"/>
  <c r="AC36" i="18"/>
  <c r="T35" i="18"/>
  <c r="G35" i="18"/>
  <c r="AA34" i="18"/>
  <c r="Y34" i="18"/>
  <c r="X34" i="18"/>
  <c r="V34" i="18"/>
  <c r="U34" i="18"/>
  <c r="T34" i="18"/>
  <c r="S34" i="18"/>
  <c r="N34" i="18"/>
  <c r="L34" i="18"/>
  <c r="K34" i="18"/>
  <c r="G34" i="18"/>
  <c r="AC33" i="18"/>
  <c r="AB33" i="18"/>
  <c r="AB32" i="18"/>
  <c r="O33" i="18"/>
  <c r="AA32" i="18"/>
  <c r="Y32" i="18"/>
  <c r="O32" i="18"/>
  <c r="N32" i="18"/>
  <c r="L32" i="18"/>
  <c r="AC31" i="18"/>
  <c r="AB30" i="18"/>
  <c r="AA30" i="18"/>
  <c r="Z30" i="18"/>
  <c r="Y30" i="18"/>
  <c r="X30" i="18"/>
  <c r="W30" i="18"/>
  <c r="V30" i="18"/>
  <c r="U30" i="18"/>
  <c r="T30" i="18"/>
  <c r="S30" i="18"/>
  <c r="R30" i="18"/>
  <c r="R45" i="18"/>
  <c r="R124" i="18"/>
  <c r="P30" i="18"/>
  <c r="L30" i="18"/>
  <c r="C30" i="18"/>
  <c r="E30" i="18"/>
  <c r="AC29" i="18"/>
  <c r="AA28" i="18"/>
  <c r="Z28" i="18"/>
  <c r="Y28" i="18"/>
  <c r="X28" i="18"/>
  <c r="V28" i="18"/>
  <c r="U28" i="18"/>
  <c r="T28" i="18"/>
  <c r="R28" i="18"/>
  <c r="Q28" i="18"/>
  <c r="AC27" i="18"/>
  <c r="AB24" i="18"/>
  <c r="AA24" i="18"/>
  <c r="Z24" i="18"/>
  <c r="Y24" i="18"/>
  <c r="X24" i="18"/>
  <c r="W24" i="18"/>
  <c r="V24" i="18"/>
  <c r="P24" i="18"/>
  <c r="AC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P23" i="18"/>
  <c r="P20" i="18"/>
  <c r="O23" i="18"/>
  <c r="O20" i="18"/>
  <c r="N23" i="18"/>
  <c r="M23" i="18"/>
  <c r="L23" i="18"/>
  <c r="K23" i="18"/>
  <c r="J23" i="18"/>
  <c r="I23" i="18"/>
  <c r="H23" i="18"/>
  <c r="G23" i="18"/>
  <c r="F23" i="18"/>
  <c r="F20" i="18"/>
  <c r="F28" i="18"/>
  <c r="E23" i="18"/>
  <c r="D23" i="18"/>
  <c r="D20" i="18"/>
  <c r="D28" i="18"/>
  <c r="P22" i="18"/>
  <c r="O22" i="18"/>
  <c r="N22" i="18"/>
  <c r="N20" i="18"/>
  <c r="N28" i="18"/>
  <c r="M22" i="18"/>
  <c r="M20" i="18"/>
  <c r="L22" i="18"/>
  <c r="L20" i="18"/>
  <c r="L28" i="18"/>
  <c r="K22" i="18"/>
  <c r="K20" i="18"/>
  <c r="K28" i="18"/>
  <c r="J22" i="18"/>
  <c r="J20" i="18"/>
  <c r="I22" i="18"/>
  <c r="I20" i="18"/>
  <c r="H22" i="18"/>
  <c r="G22" i="18"/>
  <c r="G20" i="18"/>
  <c r="F22" i="18"/>
  <c r="E22" i="18"/>
  <c r="E20" i="18"/>
  <c r="E28" i="18"/>
  <c r="D22" i="18"/>
  <c r="AC21" i="18"/>
  <c r="M28" i="18"/>
  <c r="J28" i="18"/>
  <c r="H20" i="18"/>
  <c r="H28" i="18"/>
  <c r="O19" i="18"/>
  <c r="N19" i="18"/>
  <c r="M19" i="18"/>
  <c r="L19" i="18"/>
  <c r="K19" i="18"/>
  <c r="J19" i="18"/>
  <c r="I19" i="18"/>
  <c r="H19" i="18"/>
  <c r="G19" i="18"/>
  <c r="F19" i="18"/>
  <c r="D19" i="18"/>
  <c r="AC18" i="18"/>
  <c r="U18" i="18"/>
  <c r="T18" i="18"/>
  <c r="T24" i="18"/>
  <c r="S18" i="18"/>
  <c r="R18" i="18"/>
  <c r="R24" i="18"/>
  <c r="Q18" i="18"/>
  <c r="C17" i="18"/>
  <c r="AC17" i="18"/>
  <c r="C16" i="18"/>
  <c r="Y15" i="18"/>
  <c r="T15" i="18"/>
  <c r="P15" i="18"/>
  <c r="O15" i="18"/>
  <c r="O21" i="18"/>
  <c r="N15" i="18"/>
  <c r="N21" i="18"/>
  <c r="M15" i="18"/>
  <c r="M21" i="18"/>
  <c r="L15" i="18"/>
  <c r="L21" i="18"/>
  <c r="K15" i="18"/>
  <c r="K21" i="18"/>
  <c r="J15" i="18"/>
  <c r="J21" i="18"/>
  <c r="I15" i="18"/>
  <c r="I21" i="18"/>
  <c r="H15" i="18"/>
  <c r="H21" i="18"/>
  <c r="G15" i="18"/>
  <c r="G21" i="18"/>
  <c r="F15" i="18"/>
  <c r="F21" i="18"/>
  <c r="E15" i="18"/>
  <c r="E21" i="18"/>
  <c r="D15" i="18"/>
  <c r="D21" i="18"/>
  <c r="P12" i="18"/>
  <c r="C12" i="18"/>
  <c r="W11" i="18"/>
  <c r="W28" i="18"/>
  <c r="S11" i="18"/>
  <c r="S28" i="18"/>
  <c r="P11" i="18"/>
  <c r="I11" i="18"/>
  <c r="I28" i="18"/>
  <c r="G11" i="18"/>
  <c r="G28" i="18"/>
  <c r="E11" i="18"/>
  <c r="B11" i="18"/>
  <c r="B13" i="18"/>
  <c r="AA10" i="18"/>
  <c r="P10" i="18"/>
  <c r="E10" i="18"/>
  <c r="C10" i="18"/>
  <c r="E19" i="18"/>
  <c r="B10" i="18"/>
  <c r="AA8" i="18"/>
  <c r="AA13" i="18"/>
  <c r="Z8" i="18"/>
  <c r="Z45" i="18"/>
  <c r="Z124" i="18"/>
  <c r="Y8" i="18"/>
  <c r="Y13" i="18"/>
  <c r="X8" i="18"/>
  <c r="W8" i="18"/>
  <c r="W124" i="18"/>
  <c r="V8" i="18"/>
  <c r="V45" i="18"/>
  <c r="V124" i="18"/>
  <c r="U8" i="18"/>
  <c r="U45" i="18"/>
  <c r="U124" i="18"/>
  <c r="T8" i="18"/>
  <c r="T45" i="18"/>
  <c r="T124" i="18"/>
  <c r="S8" i="18"/>
  <c r="S45" i="18"/>
  <c r="S124" i="18"/>
  <c r="R8" i="18"/>
  <c r="Q8" i="18"/>
  <c r="P8" i="18"/>
  <c r="N8" i="18"/>
  <c r="M8" i="18"/>
  <c r="M13" i="18"/>
  <c r="M45" i="18"/>
  <c r="M124" i="18"/>
  <c r="L8" i="18"/>
  <c r="L45" i="18"/>
  <c r="L124" i="18"/>
  <c r="L126" i="18"/>
  <c r="L158" i="18"/>
  <c r="K8" i="18"/>
  <c r="K45" i="18"/>
  <c r="K124" i="18"/>
  <c r="J8" i="18"/>
  <c r="I8" i="18"/>
  <c r="I45" i="18"/>
  <c r="I124" i="18"/>
  <c r="H8" i="18"/>
  <c r="H45" i="18"/>
  <c r="H124" i="18"/>
  <c r="G8" i="18"/>
  <c r="F8" i="18"/>
  <c r="F45" i="18"/>
  <c r="F124" i="18"/>
  <c r="E8" i="18"/>
  <c r="D8" i="18"/>
  <c r="C8" i="18"/>
  <c r="B8" i="18"/>
  <c r="Q59" i="1"/>
  <c r="AC43" i="1"/>
  <c r="AB147" i="18"/>
  <c r="R36" i="1"/>
  <c r="P135" i="1"/>
  <c r="P154" i="1"/>
  <c r="P157" i="1"/>
  <c r="P147" i="1"/>
  <c r="F54" i="16"/>
  <c r="C53" i="16"/>
  <c r="F37" i="16"/>
  <c r="E37" i="16"/>
  <c r="E38" i="16"/>
  <c r="D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C37" i="16"/>
  <c r="G17" i="16"/>
  <c r="G16" i="16"/>
  <c r="G15" i="16"/>
  <c r="G14" i="16"/>
  <c r="G13" i="16"/>
  <c r="G12" i="16"/>
  <c r="G11" i="16"/>
  <c r="G10" i="16"/>
  <c r="G9" i="16"/>
  <c r="G8" i="16"/>
  <c r="G7" i="16"/>
  <c r="B37" i="16"/>
  <c r="G5" i="16"/>
  <c r="G4" i="16"/>
  <c r="Q62" i="1"/>
  <c r="Q61" i="1"/>
  <c r="AB84" i="1"/>
  <c r="AB122" i="1"/>
  <c r="AB96" i="1"/>
  <c r="O96" i="1"/>
  <c r="B53" i="15"/>
  <c r="O147" i="1"/>
  <c r="AB147" i="1"/>
  <c r="O84" i="1"/>
  <c r="O122" i="1"/>
  <c r="Q100" i="1"/>
  <c r="G6" i="15"/>
  <c r="F54" i="15"/>
  <c r="C53" i="15"/>
  <c r="F37" i="15"/>
  <c r="E37" i="15"/>
  <c r="E38" i="15"/>
  <c r="D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C37" i="15"/>
  <c r="G10" i="15"/>
  <c r="G9" i="15"/>
  <c r="G8" i="15"/>
  <c r="G7" i="15"/>
  <c r="G5" i="15"/>
  <c r="G4" i="15"/>
  <c r="Q142" i="1"/>
  <c r="Q145" i="1"/>
  <c r="G16" i="14"/>
  <c r="G15" i="14"/>
  <c r="N135" i="1"/>
  <c r="N154" i="1"/>
  <c r="N157" i="1"/>
  <c r="Q94" i="1"/>
  <c r="AD94" i="1"/>
  <c r="AA84" i="1"/>
  <c r="B53" i="14"/>
  <c r="Z147" i="18"/>
  <c r="Z148" i="18"/>
  <c r="AD168" i="1"/>
  <c r="F54" i="14"/>
  <c r="C53" i="14"/>
  <c r="F37" i="14"/>
  <c r="M147" i="18"/>
  <c r="M148" i="18"/>
  <c r="E37" i="14"/>
  <c r="E38" i="14"/>
  <c r="D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4" i="14"/>
  <c r="G13" i="14"/>
  <c r="G12" i="14"/>
  <c r="G11" i="14"/>
  <c r="G10" i="14"/>
  <c r="G9" i="14"/>
  <c r="G8" i="14"/>
  <c r="G7" i="14"/>
  <c r="G6" i="14"/>
  <c r="G37" i="14"/>
  <c r="C37" i="14"/>
  <c r="G4" i="14"/>
  <c r="Z43" i="1"/>
  <c r="Z84" i="1"/>
  <c r="Z122" i="1"/>
  <c r="M84" i="1"/>
  <c r="M122" i="1"/>
  <c r="Q86" i="1"/>
  <c r="AD86" i="1"/>
  <c r="Q87" i="1"/>
  <c r="AD87" i="1"/>
  <c r="Q116" i="1"/>
  <c r="Q117" i="1"/>
  <c r="Q118" i="1"/>
  <c r="Q119" i="1"/>
  <c r="Q120" i="1"/>
  <c r="Q60" i="1"/>
  <c r="D117" i="1"/>
  <c r="D115" i="1"/>
  <c r="D118" i="1"/>
  <c r="D119" i="1"/>
  <c r="D120" i="1"/>
  <c r="D121" i="1"/>
  <c r="B53" i="13"/>
  <c r="M135" i="1"/>
  <c r="M154" i="1"/>
  <c r="M157" i="1"/>
  <c r="F54" i="13"/>
  <c r="C53" i="13"/>
  <c r="F37" i="13"/>
  <c r="E37" i="13"/>
  <c r="E38" i="13"/>
  <c r="D37" i="13"/>
  <c r="C37" i="13"/>
  <c r="B37" i="13"/>
  <c r="I43" i="13"/>
  <c r="K43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B53" i="12"/>
  <c r="C37" i="12"/>
  <c r="B37" i="12"/>
  <c r="B38" i="12"/>
  <c r="Y135" i="1"/>
  <c r="Y154" i="1"/>
  <c r="L135" i="1"/>
  <c r="L154" i="1"/>
  <c r="K106" i="1"/>
  <c r="Y84" i="1"/>
  <c r="Y122" i="1"/>
  <c r="F54" i="12"/>
  <c r="C53" i="12"/>
  <c r="F37" i="12"/>
  <c r="E37" i="12"/>
  <c r="E38" i="12"/>
  <c r="D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37" i="12"/>
  <c r="G10" i="12"/>
  <c r="G9" i="12"/>
  <c r="G8" i="12"/>
  <c r="G7" i="12"/>
  <c r="G6" i="12"/>
  <c r="G5" i="12"/>
  <c r="G4" i="12"/>
  <c r="Q63" i="1"/>
  <c r="C53" i="11"/>
  <c r="G25" i="11"/>
  <c r="Q14" i="1"/>
  <c r="D14" i="1"/>
  <c r="B53" i="11"/>
  <c r="W147" i="18"/>
  <c r="W148" i="18"/>
  <c r="C37" i="11"/>
  <c r="B37" i="11"/>
  <c r="B38" i="11"/>
  <c r="K135" i="1"/>
  <c r="K154" i="1"/>
  <c r="F54" i="11"/>
  <c r="F37" i="11"/>
  <c r="E37" i="11"/>
  <c r="E38" i="11"/>
  <c r="D37" i="11"/>
  <c r="G36" i="11"/>
  <c r="G35" i="11"/>
  <c r="G34" i="11"/>
  <c r="G33" i="11"/>
  <c r="G32" i="11"/>
  <c r="G31" i="11"/>
  <c r="G30" i="11"/>
  <c r="G29" i="11"/>
  <c r="G28" i="11"/>
  <c r="G27" i="11"/>
  <c r="G26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Q141" i="1"/>
  <c r="Q143" i="1"/>
  <c r="D136" i="1"/>
  <c r="Q102" i="1"/>
  <c r="Q93" i="1"/>
  <c r="AD93" i="1"/>
  <c r="Q95" i="1"/>
  <c r="AD95" i="1"/>
  <c r="AB29" i="1"/>
  <c r="AA29" i="1"/>
  <c r="Z29" i="1"/>
  <c r="Y29" i="1"/>
  <c r="X29" i="1"/>
  <c r="F29" i="1"/>
  <c r="E29" i="1"/>
  <c r="N24" i="1"/>
  <c r="N36" i="1"/>
  <c r="L24" i="1"/>
  <c r="L36" i="1"/>
  <c r="L39" i="1"/>
  <c r="K24" i="1"/>
  <c r="K36" i="1"/>
  <c r="K39" i="1"/>
  <c r="G24" i="1"/>
  <c r="G36" i="1"/>
  <c r="G39" i="1"/>
  <c r="E24" i="1"/>
  <c r="E36" i="1"/>
  <c r="E39" i="1"/>
  <c r="S29" i="1"/>
  <c r="I18" i="1"/>
  <c r="I25" i="1"/>
  <c r="Q121" i="1"/>
  <c r="Q89" i="1"/>
  <c r="AD89" i="1"/>
  <c r="W84" i="1"/>
  <c r="W122" i="1"/>
  <c r="B37" i="10"/>
  <c r="F54" i="10"/>
  <c r="C53" i="10"/>
  <c r="F37" i="10"/>
  <c r="E37" i="10"/>
  <c r="E38" i="10"/>
  <c r="D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C37" i="10"/>
  <c r="G9" i="10"/>
  <c r="G37" i="10"/>
  <c r="G8" i="10"/>
  <c r="G7" i="10"/>
  <c r="G6" i="10"/>
  <c r="G5" i="10"/>
  <c r="G4" i="10"/>
  <c r="C53" i="8"/>
  <c r="F37" i="8"/>
  <c r="I147" i="1"/>
  <c r="Q90" i="1"/>
  <c r="AD90" i="1"/>
  <c r="I135" i="1"/>
  <c r="I154" i="1"/>
  <c r="F54" i="9"/>
  <c r="C54" i="9"/>
  <c r="B53" i="9"/>
  <c r="T147" i="18"/>
  <c r="T148" i="18"/>
  <c r="F37" i="9"/>
  <c r="F41" i="9"/>
  <c r="E37" i="9"/>
  <c r="D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C37" i="9"/>
  <c r="G15" i="9"/>
  <c r="G14" i="9"/>
  <c r="G13" i="9"/>
  <c r="G12" i="9"/>
  <c r="G11" i="9"/>
  <c r="B37" i="9"/>
  <c r="G9" i="9"/>
  <c r="G8" i="9"/>
  <c r="G7" i="9"/>
  <c r="G6" i="9"/>
  <c r="G37" i="9"/>
  <c r="G5" i="9"/>
  <c r="G4" i="9"/>
  <c r="F54" i="8"/>
  <c r="E37" i="8"/>
  <c r="E38" i="8"/>
  <c r="D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3" i="8"/>
  <c r="G12" i="8"/>
  <c r="G11" i="8"/>
  <c r="G10" i="8"/>
  <c r="G8" i="8"/>
  <c r="G7" i="8"/>
  <c r="G6" i="8"/>
  <c r="G5" i="8"/>
  <c r="G4" i="8"/>
  <c r="U96" i="1"/>
  <c r="U84" i="1"/>
  <c r="U122" i="1"/>
  <c r="H147" i="1"/>
  <c r="G147" i="1"/>
  <c r="E154" i="1"/>
  <c r="I111" i="1"/>
  <c r="J111" i="1"/>
  <c r="J122" i="1"/>
  <c r="I106" i="1"/>
  <c r="J106" i="1"/>
  <c r="L106" i="1"/>
  <c r="M106" i="1"/>
  <c r="N106" i="1"/>
  <c r="O106" i="1"/>
  <c r="P106" i="1"/>
  <c r="H96" i="1"/>
  <c r="I96" i="1"/>
  <c r="J96" i="1"/>
  <c r="M96" i="1"/>
  <c r="N96" i="1"/>
  <c r="P96" i="1"/>
  <c r="P122" i="1"/>
  <c r="R154" i="1"/>
  <c r="U147" i="1"/>
  <c r="V147" i="1"/>
  <c r="W147" i="1"/>
  <c r="X147" i="1"/>
  <c r="Y147" i="1"/>
  <c r="Z147" i="1"/>
  <c r="AA147" i="1"/>
  <c r="AA154" i="1"/>
  <c r="AC147" i="1"/>
  <c r="T147" i="1"/>
  <c r="V135" i="1"/>
  <c r="V154" i="1"/>
  <c r="W135" i="1"/>
  <c r="W154" i="1"/>
  <c r="X135" i="1"/>
  <c r="X154" i="1"/>
  <c r="AC135" i="1"/>
  <c r="AC154" i="1"/>
  <c r="V111" i="1"/>
  <c r="V106" i="1"/>
  <c r="Q106" i="1"/>
  <c r="W106" i="1"/>
  <c r="X106" i="1"/>
  <c r="Y106" i="1"/>
  <c r="Z106" i="1"/>
  <c r="AA106" i="1"/>
  <c r="AB106" i="1"/>
  <c r="AC106" i="1"/>
  <c r="X96" i="1"/>
  <c r="Y96" i="1"/>
  <c r="Z96" i="1"/>
  <c r="AA96" i="1"/>
  <c r="AA122" i="1"/>
  <c r="AA157" i="1"/>
  <c r="AC96" i="1"/>
  <c r="Q72" i="1"/>
  <c r="Q159" i="1"/>
  <c r="G96" i="1"/>
  <c r="G30" i="6"/>
  <c r="G31" i="6"/>
  <c r="G32" i="6"/>
  <c r="G33" i="6"/>
  <c r="G34" i="6"/>
  <c r="G35" i="6"/>
  <c r="G36" i="6"/>
  <c r="F54" i="6"/>
  <c r="F37" i="6"/>
  <c r="F41" i="6"/>
  <c r="E37" i="6"/>
  <c r="D37" i="6"/>
  <c r="G29" i="6"/>
  <c r="G28" i="6"/>
  <c r="G27" i="6"/>
  <c r="G26" i="6"/>
  <c r="G25" i="6"/>
  <c r="G24" i="6"/>
  <c r="G23" i="6"/>
  <c r="G22" i="6"/>
  <c r="G20" i="6"/>
  <c r="G18" i="6"/>
  <c r="G17" i="6"/>
  <c r="G14" i="6"/>
  <c r="G13" i="6"/>
  <c r="G12" i="6"/>
  <c r="G11" i="6"/>
  <c r="G9" i="6"/>
  <c r="G7" i="6"/>
  <c r="G6" i="6"/>
  <c r="G4" i="6"/>
  <c r="C54" i="3"/>
  <c r="F53" i="4"/>
  <c r="F36" i="4"/>
  <c r="F40" i="4"/>
  <c r="E36" i="4"/>
  <c r="D36" i="4"/>
  <c r="G28" i="4"/>
  <c r="G27" i="4"/>
  <c r="G26" i="4"/>
  <c r="G25" i="4"/>
  <c r="G24" i="4"/>
  <c r="G23" i="4"/>
  <c r="G22" i="4"/>
  <c r="G21" i="4"/>
  <c r="G20" i="4"/>
  <c r="G19" i="4"/>
  <c r="G18" i="4"/>
  <c r="G16" i="4"/>
  <c r="G15" i="4"/>
  <c r="G14" i="4"/>
  <c r="G13" i="4"/>
  <c r="G11" i="4"/>
  <c r="G12" i="4"/>
  <c r="G10" i="4"/>
  <c r="G9" i="4"/>
  <c r="G8" i="4"/>
  <c r="G6" i="4"/>
  <c r="G5" i="4"/>
  <c r="G4" i="4"/>
  <c r="Q152" i="1"/>
  <c r="Q150" i="1"/>
  <c r="Q132" i="1"/>
  <c r="C53" i="3"/>
  <c r="F54" i="3"/>
  <c r="F37" i="3"/>
  <c r="F41" i="3"/>
  <c r="E37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37" i="3"/>
  <c r="G14" i="3"/>
  <c r="G13" i="3"/>
  <c r="G12" i="3"/>
  <c r="G9" i="3"/>
  <c r="G6" i="3"/>
  <c r="G5" i="3"/>
  <c r="G4" i="3"/>
  <c r="C7" i="1"/>
  <c r="C10" i="1"/>
  <c r="AD42" i="1"/>
  <c r="AD124" i="1"/>
  <c r="AD132" i="1"/>
  <c r="AD125" i="1"/>
  <c r="AD126" i="1"/>
  <c r="AD127" i="1"/>
  <c r="AD128" i="1"/>
  <c r="AD129" i="1"/>
  <c r="AD130" i="1"/>
  <c r="AD131" i="1"/>
  <c r="C132" i="1"/>
  <c r="D132" i="1"/>
  <c r="D150" i="1"/>
  <c r="AD150" i="1"/>
  <c r="D152" i="1"/>
  <c r="AD152" i="1"/>
  <c r="C159" i="1"/>
  <c r="G7" i="3"/>
  <c r="G10" i="3"/>
  <c r="G8" i="6"/>
  <c r="G10" i="9"/>
  <c r="C53" i="9"/>
  <c r="B38" i="9"/>
  <c r="G147" i="18"/>
  <c r="G148" i="18"/>
  <c r="B38" i="10"/>
  <c r="B41" i="10"/>
  <c r="B54" i="10"/>
  <c r="D54" i="10"/>
  <c r="B53" i="10"/>
  <c r="G5" i="14"/>
  <c r="B37" i="14"/>
  <c r="B38" i="14"/>
  <c r="I43" i="14"/>
  <c r="K43" i="14"/>
  <c r="B37" i="15"/>
  <c r="I43" i="15"/>
  <c r="K43" i="15"/>
  <c r="G6" i="16"/>
  <c r="AC8" i="18"/>
  <c r="G13" i="18"/>
  <c r="K13" i="18"/>
  <c r="Q13" i="18"/>
  <c r="S13" i="18"/>
  <c r="U13" i="18"/>
  <c r="W13" i="18"/>
  <c r="C23" i="18"/>
  <c r="AC23" i="18"/>
  <c r="Q45" i="18"/>
  <c r="Q124" i="18"/>
  <c r="D13" i="18"/>
  <c r="F13" i="18"/>
  <c r="H13" i="18"/>
  <c r="L13" i="18"/>
  <c r="N13" i="18"/>
  <c r="R13" i="18"/>
  <c r="T13" i="18"/>
  <c r="V13" i="18"/>
  <c r="X13" i="18"/>
  <c r="Z13" i="18"/>
  <c r="AC16" i="18"/>
  <c r="T26" i="18"/>
  <c r="AC51" i="18"/>
  <c r="AC127" i="18"/>
  <c r="F122" i="18"/>
  <c r="AA68" i="18"/>
  <c r="AB148" i="18"/>
  <c r="B38" i="15"/>
  <c r="AA147" i="18"/>
  <c r="AA148" i="18"/>
  <c r="B38" i="13"/>
  <c r="L147" i="18"/>
  <c r="L148" i="18"/>
  <c r="Y147" i="18"/>
  <c r="Y148" i="18"/>
  <c r="X147" i="18"/>
  <c r="X148" i="18"/>
  <c r="V147" i="18"/>
  <c r="V148" i="18"/>
  <c r="G7" i="4"/>
  <c r="B37" i="19"/>
  <c r="B38" i="19"/>
  <c r="B41" i="19"/>
  <c r="G5" i="6"/>
  <c r="C37" i="6"/>
  <c r="B37" i="20"/>
  <c r="B38" i="20"/>
  <c r="B41" i="20"/>
  <c r="G37" i="20"/>
  <c r="C37" i="22"/>
  <c r="C37" i="23"/>
  <c r="B38" i="23"/>
  <c r="B41" i="23"/>
  <c r="B54" i="23"/>
  <c r="G10" i="23"/>
  <c r="Y36" i="1"/>
  <c r="G18" i="23"/>
  <c r="G23" i="23"/>
  <c r="D54" i="23"/>
  <c r="B37" i="24"/>
  <c r="C54" i="25"/>
  <c r="G5" i="25"/>
  <c r="G15" i="25"/>
  <c r="G11" i="27"/>
  <c r="G9" i="27"/>
  <c r="AC84" i="1"/>
  <c r="AC122" i="1"/>
  <c r="Q91" i="1"/>
  <c r="AD91" i="1"/>
  <c r="C37" i="28"/>
  <c r="R16" i="1"/>
  <c r="C54" i="29"/>
  <c r="C37" i="29"/>
  <c r="G14" i="29"/>
  <c r="B37" i="30"/>
  <c r="B38" i="30"/>
  <c r="B41" i="30"/>
  <c r="C53" i="31"/>
  <c r="G5" i="31"/>
  <c r="C37" i="8"/>
  <c r="U148" i="18"/>
  <c r="G9" i="32"/>
  <c r="G15" i="32"/>
  <c r="G14" i="32"/>
  <c r="G10" i="33"/>
  <c r="G37" i="33"/>
  <c r="G5" i="33"/>
  <c r="B53" i="33"/>
  <c r="G5" i="35"/>
  <c r="G25" i="36"/>
  <c r="N181" i="1"/>
  <c r="I76" i="1"/>
  <c r="L43" i="1"/>
  <c r="L64" i="1"/>
  <c r="L156" i="1"/>
  <c r="L158" i="1"/>
  <c r="L191" i="1"/>
  <c r="N76" i="1"/>
  <c r="N122" i="1"/>
  <c r="G9" i="37"/>
  <c r="B37" i="37"/>
  <c r="G14" i="37"/>
  <c r="N10" i="1"/>
  <c r="N16" i="1"/>
  <c r="Q70" i="1"/>
  <c r="AD70" i="1"/>
  <c r="J18" i="1"/>
  <c r="J25" i="1"/>
  <c r="M36" i="1"/>
  <c r="M39" i="1"/>
  <c r="I24" i="1"/>
  <c r="I36" i="1"/>
  <c r="I39" i="1"/>
  <c r="D68" i="1"/>
  <c r="AD68" i="1"/>
  <c r="Q99" i="1"/>
  <c r="AB181" i="1"/>
  <c r="U106" i="1"/>
  <c r="X36" i="1"/>
  <c r="Q46" i="1"/>
  <c r="AD46" i="1"/>
  <c r="U68" i="1"/>
  <c r="Q69" i="1"/>
  <c r="AD69" i="1"/>
  <c r="J135" i="1"/>
  <c r="J154" i="1"/>
  <c r="J157" i="1"/>
  <c r="X84" i="1"/>
  <c r="X122" i="1"/>
  <c r="Q88" i="1"/>
  <c r="AD88" i="1"/>
  <c r="Y76" i="1"/>
  <c r="L84" i="1"/>
  <c r="L122" i="1"/>
  <c r="M111" i="1"/>
  <c r="V96" i="1"/>
  <c r="V122" i="1"/>
  <c r="Q98" i="1"/>
  <c r="L34" i="1"/>
  <c r="L31" i="1"/>
  <c r="B37" i="38"/>
  <c r="B54" i="38"/>
  <c r="D54" i="38"/>
  <c r="AC181" i="1"/>
  <c r="N18" i="1"/>
  <c r="N25" i="1"/>
  <c r="AC76" i="1"/>
  <c r="P181" i="1"/>
  <c r="AD169" i="1"/>
  <c r="K34" i="1"/>
  <c r="K31" i="1"/>
  <c r="D37" i="39"/>
  <c r="B53" i="39"/>
  <c r="S180" i="1"/>
  <c r="S181" i="1"/>
  <c r="G7" i="39"/>
  <c r="B53" i="3"/>
  <c r="Q147" i="18"/>
  <c r="G16" i="3"/>
  <c r="B37" i="3"/>
  <c r="G11" i="3"/>
  <c r="G10" i="39"/>
  <c r="C54" i="40"/>
  <c r="G10" i="40"/>
  <c r="G37" i="40"/>
  <c r="G135" i="1"/>
  <c r="D29" i="1"/>
  <c r="Q22" i="1"/>
  <c r="AD22" i="1"/>
  <c r="Q29" i="1"/>
  <c r="AD29" i="1"/>
  <c r="T111" i="1"/>
  <c r="Z16" i="1"/>
  <c r="S10" i="1"/>
  <c r="R33" i="1"/>
  <c r="T106" i="1"/>
  <c r="S76" i="1"/>
  <c r="H180" i="1"/>
  <c r="H181" i="1"/>
  <c r="G10" i="41"/>
  <c r="G37" i="41"/>
  <c r="E13" i="18"/>
  <c r="E45" i="18"/>
  <c r="E124" i="18"/>
  <c r="E126" i="18"/>
  <c r="C22" i="18"/>
  <c r="C15" i="18"/>
  <c r="C26" i="18"/>
  <c r="S24" i="18"/>
  <c r="S15" i="18"/>
  <c r="S26" i="18"/>
  <c r="E91" i="18"/>
  <c r="E125" i="18"/>
  <c r="F91" i="18"/>
  <c r="F125" i="18"/>
  <c r="F126" i="18"/>
  <c r="C73" i="18"/>
  <c r="O68" i="18"/>
  <c r="C68" i="18"/>
  <c r="W16" i="1"/>
  <c r="B37" i="34"/>
  <c r="B38" i="34"/>
  <c r="B41" i="34"/>
  <c r="B54" i="34"/>
  <c r="D54" i="34"/>
  <c r="G5" i="34"/>
  <c r="G37" i="34"/>
  <c r="P25" i="1"/>
  <c r="G37" i="15"/>
  <c r="AF156" i="18"/>
  <c r="AF157" i="18"/>
  <c r="P19" i="18"/>
  <c r="S91" i="18"/>
  <c r="S125" i="18"/>
  <c r="S126" i="18"/>
  <c r="W91" i="18"/>
  <c r="W125" i="18"/>
  <c r="W126" i="18"/>
  <c r="W158" i="18"/>
  <c r="G6" i="21"/>
  <c r="G37" i="21"/>
  <c r="C37" i="21"/>
  <c r="B37" i="21"/>
  <c r="B38" i="21"/>
  <c r="B41" i="21"/>
  <c r="B54" i="21"/>
  <c r="D54" i="21"/>
  <c r="G12" i="21"/>
  <c r="G10" i="22"/>
  <c r="G37" i="22"/>
  <c r="B37" i="22"/>
  <c r="B38" i="22"/>
  <c r="B41" i="22"/>
  <c r="B54" i="22"/>
  <c r="D54" i="22"/>
  <c r="AD25" i="1"/>
  <c r="B41" i="9"/>
  <c r="B54" i="9"/>
  <c r="D54" i="9"/>
  <c r="I41" i="13"/>
  <c r="B41" i="13"/>
  <c r="B54" i="13"/>
  <c r="D54" i="13"/>
  <c r="B41" i="15"/>
  <c r="B54" i="15"/>
  <c r="D54" i="15"/>
  <c r="N147" i="18"/>
  <c r="N148" i="18"/>
  <c r="G37" i="13"/>
  <c r="U24" i="18"/>
  <c r="U15" i="18"/>
  <c r="P48" i="18"/>
  <c r="Q91" i="18"/>
  <c r="Q125" i="18"/>
  <c r="P50" i="18"/>
  <c r="AC50" i="18"/>
  <c r="C60" i="18"/>
  <c r="AC60" i="18"/>
  <c r="O56" i="18"/>
  <c r="T91" i="18"/>
  <c r="T125" i="18"/>
  <c r="X125" i="18"/>
  <c r="C85" i="18"/>
  <c r="M82" i="18"/>
  <c r="P90" i="18"/>
  <c r="V82" i="18"/>
  <c r="B37" i="27"/>
  <c r="B38" i="27"/>
  <c r="B41" i="27"/>
  <c r="B54" i="27"/>
  <c r="D54" i="27"/>
  <c r="G7" i="27"/>
  <c r="Y16" i="1"/>
  <c r="I41" i="15"/>
  <c r="P26" i="18"/>
  <c r="G37" i="11"/>
  <c r="I43" i="16"/>
  <c r="K43" i="16"/>
  <c r="B38" i="16"/>
  <c r="C32" i="18"/>
  <c r="AC32" i="18"/>
  <c r="F41" i="25"/>
  <c r="C54" i="28"/>
  <c r="C53" i="28"/>
  <c r="G37" i="30"/>
  <c r="G7" i="31"/>
  <c r="G37" i="31"/>
  <c r="B37" i="31"/>
  <c r="B38" i="31"/>
  <c r="B41" i="31"/>
  <c r="B54" i="31"/>
  <c r="D54" i="31"/>
  <c r="R15" i="18"/>
  <c r="R26" i="18"/>
  <c r="C82" i="18"/>
  <c r="Y82" i="18"/>
  <c r="Y91" i="18"/>
  <c r="Y125" i="18"/>
  <c r="C104" i="18"/>
  <c r="B37" i="6"/>
  <c r="B38" i="6"/>
  <c r="B41" i="6"/>
  <c r="B53" i="20"/>
  <c r="B54" i="20"/>
  <c r="D54" i="20"/>
  <c r="H24" i="1"/>
  <c r="H36" i="1"/>
  <c r="H39" i="1"/>
  <c r="G37" i="25"/>
  <c r="P32" i="18"/>
  <c r="K91" i="18"/>
  <c r="K125" i="18"/>
  <c r="K126" i="18"/>
  <c r="M91" i="18"/>
  <c r="M125" i="18"/>
  <c r="M126" i="18"/>
  <c r="M158" i="18"/>
  <c r="C55" i="18"/>
  <c r="AC55" i="18"/>
  <c r="C59" i="18"/>
  <c r="AB104" i="18"/>
  <c r="C37" i="26"/>
  <c r="G8" i="26"/>
  <c r="G15" i="6"/>
  <c r="F41" i="23"/>
  <c r="B37" i="26"/>
  <c r="B38" i="26"/>
  <c r="B41" i="26"/>
  <c r="G7" i="26"/>
  <c r="B53" i="30"/>
  <c r="B54" i="30"/>
  <c r="D54" i="30"/>
  <c r="B53" i="35"/>
  <c r="C37" i="37"/>
  <c r="B38" i="37"/>
  <c r="B41" i="37"/>
  <c r="B54" i="37"/>
  <c r="D54" i="37"/>
  <c r="G10" i="37"/>
  <c r="F41" i="40"/>
  <c r="B37" i="25"/>
  <c r="B38" i="25"/>
  <c r="B41" i="25"/>
  <c r="B54" i="25"/>
  <c r="D54" i="25"/>
  <c r="G37" i="27"/>
  <c r="G14" i="36"/>
  <c r="G15" i="37"/>
  <c r="G37" i="37"/>
  <c r="C37" i="3"/>
  <c r="B38" i="3"/>
  <c r="G47" i="1"/>
  <c r="Q52" i="1"/>
  <c r="B37" i="40"/>
  <c r="B38" i="40"/>
  <c r="C122" i="18"/>
  <c r="Q38" i="1"/>
  <c r="AD38" i="1"/>
  <c r="I41" i="16"/>
  <c r="AF147" i="18"/>
  <c r="AF148" i="18"/>
  <c r="AB122" i="18"/>
  <c r="AC22" i="18"/>
  <c r="C20" i="18"/>
  <c r="AC20" i="18"/>
  <c r="Q39" i="1"/>
  <c r="AD39" i="1"/>
  <c r="D154" i="1"/>
  <c r="S31" i="1"/>
  <c r="Q33" i="1"/>
  <c r="AD33" i="1"/>
  <c r="I16" i="1"/>
  <c r="U18" i="1"/>
  <c r="U34" i="1"/>
  <c r="S16" i="1"/>
  <c r="Q7" i="1"/>
  <c r="AD14" i="1"/>
  <c r="R20" i="1"/>
  <c r="Q20" i="1"/>
  <c r="M25" i="1"/>
  <c r="Q23" i="1"/>
  <c r="AD23" i="1"/>
  <c r="Q112" i="1"/>
  <c r="T24" i="1"/>
  <c r="T36" i="1"/>
  <c r="N34" i="1"/>
  <c r="N31" i="1"/>
  <c r="U31" i="1"/>
  <c r="U154" i="1"/>
  <c r="K64" i="1"/>
  <c r="K156" i="1"/>
  <c r="K158" i="1"/>
  <c r="K191" i="1"/>
  <c r="K16" i="1"/>
  <c r="AA16" i="1"/>
  <c r="G18" i="1"/>
  <c r="F36" i="1"/>
  <c r="F39" i="1"/>
  <c r="D8" i="5"/>
  <c r="D35" i="5"/>
  <c r="G25" i="1"/>
  <c r="G34" i="1"/>
  <c r="G31" i="1"/>
  <c r="D32" i="1"/>
  <c r="D16" i="1"/>
  <c r="P59" i="18"/>
  <c r="V56" i="18"/>
  <c r="V91" i="18"/>
  <c r="V125" i="18"/>
  <c r="V126" i="18"/>
  <c r="V158" i="18"/>
  <c r="T126" i="18"/>
  <c r="T158" i="18"/>
  <c r="C34" i="18"/>
  <c r="G45" i="18"/>
  <c r="G124" i="18"/>
  <c r="G126" i="18"/>
  <c r="G158" i="18"/>
  <c r="O91" i="18"/>
  <c r="O125" i="18"/>
  <c r="C56" i="18"/>
  <c r="G10" i="29"/>
  <c r="G37" i="29"/>
  <c r="B37" i="29"/>
  <c r="B38" i="29"/>
  <c r="B41" i="29"/>
  <c r="B54" i="29"/>
  <c r="D54" i="29"/>
  <c r="AC59" i="18"/>
  <c r="B41" i="40"/>
  <c r="B54" i="40"/>
  <c r="D54" i="40"/>
  <c r="G180" i="1"/>
  <c r="G181" i="1"/>
  <c r="I147" i="18"/>
  <c r="I148" i="18"/>
  <c r="C16" i="1"/>
  <c r="C64" i="1"/>
  <c r="C156" i="1"/>
  <c r="J147" i="18"/>
  <c r="J148" i="18"/>
  <c r="B41" i="11"/>
  <c r="B54" i="11"/>
  <c r="D54" i="11"/>
  <c r="G37" i="26"/>
  <c r="Q148" i="18"/>
  <c r="K147" i="18"/>
  <c r="K148" i="18"/>
  <c r="K158" i="18"/>
  <c r="B41" i="12"/>
  <c r="B54" i="12"/>
  <c r="D54" i="12"/>
  <c r="C19" i="18"/>
  <c r="AC19" i="18"/>
  <c r="AC10" i="18"/>
  <c r="O147" i="18"/>
  <c r="O148" i="18"/>
  <c r="B41" i="16"/>
  <c r="B54" i="16"/>
  <c r="D54" i="16"/>
  <c r="AC148" i="18"/>
  <c r="Q126" i="18"/>
  <c r="Q158" i="18"/>
  <c r="B54" i="41"/>
  <c r="D54" i="41"/>
  <c r="AD181" i="1"/>
  <c r="F147" i="18"/>
  <c r="F148" i="18"/>
  <c r="F158" i="18"/>
  <c r="G37" i="16"/>
  <c r="Q24" i="18"/>
  <c r="Q15" i="18"/>
  <c r="Q26" i="18"/>
  <c r="H91" i="18"/>
  <c r="H125" i="18"/>
  <c r="C48" i="18"/>
  <c r="R158" i="18"/>
  <c r="AA82" i="18"/>
  <c r="P85" i="18"/>
  <c r="AD85" i="18"/>
  <c r="G6" i="36"/>
  <c r="G37" i="36"/>
  <c r="B37" i="36"/>
  <c r="B38" i="36"/>
  <c r="B41" i="36"/>
  <c r="B54" i="36"/>
  <c r="D54" i="36"/>
  <c r="D147" i="18"/>
  <c r="E180" i="1"/>
  <c r="E181" i="1"/>
  <c r="B41" i="3"/>
  <c r="B54" i="3"/>
  <c r="D54" i="3"/>
  <c r="AC26" i="18"/>
  <c r="P13" i="18"/>
  <c r="P28" i="18"/>
  <c r="AF150" i="18"/>
  <c r="AF151" i="18"/>
  <c r="U91" i="18"/>
  <c r="U125" i="18"/>
  <c r="U126" i="18"/>
  <c r="U158" i="18"/>
  <c r="P68" i="18"/>
  <c r="AC68" i="18"/>
  <c r="C37" i="32"/>
  <c r="B38" i="32"/>
  <c r="B41" i="32"/>
  <c r="B54" i="32"/>
  <c r="D54" i="32"/>
  <c r="G10" i="32"/>
  <c r="G37" i="32"/>
  <c r="B38" i="35"/>
  <c r="B41" i="35"/>
  <c r="B54" i="35"/>
  <c r="D54" i="35"/>
  <c r="AC15" i="18"/>
  <c r="R180" i="1"/>
  <c r="J45" i="18"/>
  <c r="J124" i="18"/>
  <c r="J126" i="18"/>
  <c r="J158" i="18"/>
  <c r="J13" i="18"/>
  <c r="Y45" i="18"/>
  <c r="Y124" i="18"/>
  <c r="Y126" i="18"/>
  <c r="Y158" i="18"/>
  <c r="AC30" i="18"/>
  <c r="I91" i="18"/>
  <c r="I125" i="18"/>
  <c r="I126" i="18"/>
  <c r="I158" i="18"/>
  <c r="P110" i="18"/>
  <c r="AA104" i="18"/>
  <c r="P115" i="18"/>
  <c r="AC115" i="18"/>
  <c r="G13" i="23"/>
  <c r="G37" i="23"/>
  <c r="B53" i="26"/>
  <c r="B54" i="26"/>
  <c r="D54" i="26"/>
  <c r="G25" i="35"/>
  <c r="G37" i="35"/>
  <c r="C37" i="35"/>
  <c r="G37" i="38"/>
  <c r="J125" i="18"/>
  <c r="AB91" i="18"/>
  <c r="AB125" i="18"/>
  <c r="B36" i="4"/>
  <c r="B37" i="4"/>
  <c r="G17" i="4"/>
  <c r="G36" i="4"/>
  <c r="D26" i="1"/>
  <c r="Q24" i="1"/>
  <c r="AD24" i="1"/>
  <c r="Z126" i="18"/>
  <c r="Z158" i="18"/>
  <c r="P77" i="18"/>
  <c r="O45" i="18"/>
  <c r="O124" i="18"/>
  <c r="O126" i="18"/>
  <c r="O158" i="18"/>
  <c r="O13" i="18"/>
  <c r="I41" i="14"/>
  <c r="B41" i="14"/>
  <c r="B54" i="14"/>
  <c r="D54" i="14"/>
  <c r="D45" i="18"/>
  <c r="D124" i="18"/>
  <c r="D126" i="18"/>
  <c r="H126" i="18"/>
  <c r="AC12" i="18"/>
  <c r="C79" i="18"/>
  <c r="AB13" i="18"/>
  <c r="AB45" i="18"/>
  <c r="AB124" i="18"/>
  <c r="B53" i="19"/>
  <c r="B54" i="19"/>
  <c r="D54" i="19"/>
  <c r="B53" i="6"/>
  <c r="S147" i="18"/>
  <c r="S148" i="18"/>
  <c r="S158" i="18"/>
  <c r="C54" i="21"/>
  <c r="G10" i="24"/>
  <c r="G37" i="24"/>
  <c r="G7" i="28"/>
  <c r="G37" i="28"/>
  <c r="B37" i="28"/>
  <c r="B38" i="28"/>
  <c r="B41" i="28"/>
  <c r="B54" i="28"/>
  <c r="D54" i="28"/>
  <c r="P34" i="18"/>
  <c r="AA39" i="18"/>
  <c r="AA45" i="18"/>
  <c r="AA124" i="18"/>
  <c r="C77" i="18"/>
  <c r="G10" i="6"/>
  <c r="G37" i="6"/>
  <c r="G15" i="26"/>
  <c r="B37" i="33"/>
  <c r="B38" i="33"/>
  <c r="B41" i="33"/>
  <c r="B54" i="33"/>
  <c r="D54" i="33"/>
  <c r="B38" i="39"/>
  <c r="B45" i="18"/>
  <c r="P56" i="18"/>
  <c r="X45" i="18"/>
  <c r="X124" i="18"/>
  <c r="X126" i="18"/>
  <c r="X158" i="18"/>
  <c r="I13" i="18"/>
  <c r="C11" i="18"/>
  <c r="G14" i="8"/>
  <c r="G37" i="8"/>
  <c r="B37" i="8"/>
  <c r="B38" i="8"/>
  <c r="C53" i="24"/>
  <c r="B38" i="24"/>
  <c r="B41" i="24"/>
  <c r="B54" i="24"/>
  <c r="D54" i="24"/>
  <c r="S34" i="1"/>
  <c r="P70" i="18"/>
  <c r="B40" i="4"/>
  <c r="B53" i="4"/>
  <c r="D53" i="4"/>
  <c r="E147" i="18"/>
  <c r="E148" i="18"/>
  <c r="E158" i="18"/>
  <c r="F180" i="1"/>
  <c r="F181" i="1"/>
  <c r="B41" i="39"/>
  <c r="B54" i="39"/>
  <c r="D54" i="39"/>
  <c r="AB126" i="18"/>
  <c r="AB158" i="18"/>
  <c r="P39" i="18"/>
  <c r="AC39" i="18"/>
  <c r="AD45" i="18"/>
  <c r="AA122" i="18"/>
  <c r="P104" i="18"/>
  <c r="AC11" i="18"/>
  <c r="C28" i="18"/>
  <c r="AC28" i="18"/>
  <c r="P82" i="18"/>
  <c r="AC82" i="18"/>
  <c r="AA91" i="18"/>
  <c r="AA125" i="18"/>
  <c r="AA126" i="18"/>
  <c r="AA158" i="18"/>
  <c r="B41" i="8"/>
  <c r="B54" i="8"/>
  <c r="D54" i="8"/>
  <c r="H147" i="18"/>
  <c r="H148" i="18"/>
  <c r="H158" i="18"/>
  <c r="AC34" i="18"/>
  <c r="B124" i="18"/>
  <c r="B126" i="18"/>
  <c r="B158" i="18"/>
  <c r="AC48" i="18"/>
  <c r="AC91" i="18"/>
  <c r="C91" i="18"/>
  <c r="P147" i="18"/>
  <c r="P148" i="18"/>
  <c r="AC77" i="18"/>
  <c r="AF122" i="18"/>
  <c r="C147" i="18"/>
  <c r="D148" i="18"/>
  <c r="D158" i="18"/>
  <c r="AC13" i="18"/>
  <c r="C13" i="18"/>
  <c r="B54" i="6"/>
  <c r="D54" i="6"/>
  <c r="R181" i="1"/>
  <c r="C45" i="18"/>
  <c r="C124" i="18"/>
  <c r="AC56" i="18"/>
  <c r="P91" i="18"/>
  <c r="P125" i="18"/>
  <c r="P45" i="18"/>
  <c r="B131" i="18"/>
  <c r="B134" i="18"/>
  <c r="AC147" i="18"/>
  <c r="AD163" i="18"/>
  <c r="C148" i="18"/>
  <c r="AD148" i="18"/>
  <c r="AD149" i="18"/>
  <c r="AF136" i="18"/>
  <c r="AF137" i="18"/>
  <c r="P122" i="18"/>
  <c r="AC104" i="18"/>
  <c r="AC122" i="18"/>
  <c r="AC125" i="18"/>
  <c r="C125" i="18"/>
  <c r="C126" i="18"/>
  <c r="AF131" i="18"/>
  <c r="AF133" i="18"/>
  <c r="C158" i="18"/>
  <c r="P124" i="18"/>
  <c r="P126" i="18"/>
  <c r="P158" i="18"/>
  <c r="AC45" i="18"/>
  <c r="AC124" i="18"/>
  <c r="AC126" i="18"/>
  <c r="AC158" i="18"/>
  <c r="AD91" i="18"/>
  <c r="AD158" i="18"/>
  <c r="AD159" i="18"/>
  <c r="AD13" i="1"/>
  <c r="T16" i="1"/>
  <c r="Q80" i="1"/>
  <c r="AD80" i="1"/>
  <c r="AD7" i="1"/>
  <c r="J34" i="1"/>
  <c r="J31" i="1"/>
  <c r="S84" i="1"/>
  <c r="Q84" i="1"/>
  <c r="Q11" i="1"/>
  <c r="AD11" i="1"/>
  <c r="R64" i="1"/>
  <c r="R156" i="1"/>
  <c r="R158" i="1"/>
  <c r="R191" i="1"/>
  <c r="S64" i="1"/>
  <c r="S156" i="1"/>
  <c r="S158" i="1"/>
  <c r="S191" i="1"/>
  <c r="AC64" i="1"/>
  <c r="AC156" i="1"/>
  <c r="AC158" i="1"/>
  <c r="AC191" i="1"/>
  <c r="Z64" i="1"/>
  <c r="Z156" i="1"/>
  <c r="Z158" i="1"/>
  <c r="Z191" i="1"/>
  <c r="Q147" i="1"/>
  <c r="AD147" i="1"/>
  <c r="O154" i="1"/>
  <c r="G154" i="1"/>
  <c r="E8" i="5"/>
  <c r="E35" i="5"/>
  <c r="D181" i="1"/>
  <c r="C163" i="1"/>
  <c r="C166" i="1"/>
  <c r="D97" i="1"/>
  <c r="Q96" i="1"/>
  <c r="AD96" i="1"/>
  <c r="F25" i="1"/>
  <c r="F34" i="1"/>
  <c r="F31" i="1"/>
  <c r="G64" i="1"/>
  <c r="G156" i="1"/>
  <c r="G158" i="1"/>
  <c r="G191" i="1"/>
  <c r="G16" i="1"/>
  <c r="AD41" i="1"/>
  <c r="AD20" i="1"/>
  <c r="Q18" i="1"/>
  <c r="R18" i="1"/>
  <c r="R31" i="1"/>
  <c r="Q21" i="1"/>
  <c r="AD21" i="1"/>
  <c r="T18" i="1"/>
  <c r="AD106" i="1"/>
  <c r="AD67" i="1"/>
  <c r="P31" i="1"/>
  <c r="P39" i="1"/>
  <c r="T122" i="1"/>
  <c r="Q76" i="1"/>
  <c r="AD76" i="1"/>
  <c r="F122" i="1"/>
  <c r="AD10" i="1"/>
  <c r="Q16" i="1"/>
  <c r="H31" i="1"/>
  <c r="F64" i="1"/>
  <c r="F156" i="1"/>
  <c r="F158" i="1"/>
  <c r="F191" i="1"/>
  <c r="F16" i="1"/>
  <c r="T31" i="1"/>
  <c r="Q43" i="1"/>
  <c r="T64" i="1"/>
  <c r="T156" i="1"/>
  <c r="AD43" i="1"/>
  <c r="D44" i="1"/>
  <c r="D64" i="1"/>
  <c r="D156" i="1"/>
  <c r="U64" i="1"/>
  <c r="U156" i="1"/>
  <c r="U158" i="1"/>
  <c r="U191" i="1"/>
  <c r="I34" i="1"/>
  <c r="I31" i="1"/>
  <c r="P16" i="1"/>
  <c r="H25" i="1"/>
  <c r="O64" i="1"/>
  <c r="O156" i="1"/>
  <c r="O158" i="1"/>
  <c r="O191" i="1"/>
  <c r="N64" i="1"/>
  <c r="N156" i="1"/>
  <c r="N158" i="1"/>
  <c r="N191" i="1"/>
  <c r="U36" i="1"/>
  <c r="N39" i="1"/>
  <c r="O34" i="1"/>
  <c r="Q180" i="1"/>
  <c r="E18" i="1"/>
  <c r="Q45" i="1"/>
  <c r="AD45" i="1"/>
  <c r="D15" i="1"/>
  <c r="D159" i="1"/>
  <c r="Q140" i="1"/>
  <c r="T34" i="1"/>
  <c r="AB64" i="1"/>
  <c r="AB156" i="1"/>
  <c r="AB158" i="1"/>
  <c r="AB191" i="1"/>
  <c r="S135" i="1"/>
  <c r="S154" i="1"/>
  <c r="AB23" i="1"/>
  <c r="Q31" i="1"/>
  <c r="AD180" i="1"/>
  <c r="Q181" i="1"/>
  <c r="E25" i="1"/>
  <c r="E34" i="1"/>
  <c r="O31" i="1"/>
  <c r="O39" i="1"/>
  <c r="E31" i="1"/>
  <c r="R34" i="1"/>
  <c r="AD31" i="1"/>
  <c r="Q34" i="1"/>
  <c r="AD34" i="1"/>
  <c r="Q36" i="1"/>
  <c r="AD36" i="1"/>
  <c r="U157" i="1"/>
  <c r="X157" i="1"/>
  <c r="K157" i="1"/>
  <c r="AC157" i="1"/>
  <c r="G157" i="1"/>
  <c r="Q135" i="1"/>
  <c r="V157" i="1"/>
  <c r="V158" i="1"/>
  <c r="V191" i="1"/>
  <c r="I157" i="1"/>
  <c r="AB157" i="1"/>
  <c r="L157" i="1"/>
  <c r="O157" i="1"/>
  <c r="T157" i="1"/>
  <c r="T158" i="1"/>
  <c r="T191" i="1"/>
  <c r="Y157" i="1"/>
  <c r="Z157" i="1"/>
  <c r="H157" i="1"/>
  <c r="W157" i="1"/>
  <c r="F157" i="1"/>
  <c r="Q122" i="1"/>
  <c r="AD84" i="1"/>
  <c r="S122" i="1"/>
  <c r="S157" i="1"/>
  <c r="Q154" i="1"/>
  <c r="AD135" i="1"/>
  <c r="AD154" i="1"/>
  <c r="Q157" i="1"/>
  <c r="D9" i="1"/>
  <c r="AD18" i="1"/>
  <c r="D19" i="1"/>
  <c r="D85" i="1"/>
  <c r="D77" i="1"/>
  <c r="AE76" i="1"/>
  <c r="AD47" i="1"/>
  <c r="Q64" i="1"/>
  <c r="Q156" i="1"/>
  <c r="Q158" i="1"/>
  <c r="Q191" i="1"/>
  <c r="D48" i="1"/>
  <c r="AD64" i="1"/>
  <c r="AD156" i="1"/>
  <c r="AD16" i="1"/>
  <c r="AD111" i="1"/>
  <c r="AD122" i="1"/>
  <c r="AD157" i="1"/>
  <c r="AD158" i="1"/>
  <c r="AD191" i="1"/>
  <c r="D122" i="1"/>
  <c r="D157" i="1"/>
  <c r="D158" i="1"/>
  <c r="D191" i="1"/>
</calcChain>
</file>

<file path=xl/sharedStrings.xml><?xml version="1.0" encoding="utf-8"?>
<sst xmlns="http://schemas.openxmlformats.org/spreadsheetml/2006/main" count="1359" uniqueCount="254">
  <si>
    <t>лицевой счет 20</t>
  </si>
  <si>
    <t>Наименование учреждения</t>
  </si>
  <si>
    <t>МБДОУ ДС «Светлячок» г.Волгодонска</t>
  </si>
  <si>
    <t xml:space="preserve">наименование учреждения </t>
  </si>
  <si>
    <t>бюджет</t>
  </si>
  <si>
    <t>финансирование</t>
  </si>
  <si>
    <t>кассовые расходы</t>
  </si>
  <si>
    <r>
      <t xml:space="preserve">КБК 907-0701-0610072020-611 </t>
    </r>
    <r>
      <rPr>
        <b/>
        <sz val="14"/>
        <color indexed="60"/>
        <rFont val="Arial Cyr"/>
        <family val="2"/>
        <charset val="204"/>
      </rPr>
      <t>(областной бюджет)</t>
    </r>
  </si>
  <si>
    <t>ВСЕГО  по 211 "Заработная плата"</t>
  </si>
  <si>
    <t>в т.ч. доплата пед.работникам и воспитателям до среднего уровня зарплаты</t>
  </si>
  <si>
    <t>ВСЕГО  по 212"Прочие выплаты "</t>
  </si>
  <si>
    <t>ВСЕГО  по 213"Начисления на оплату труда"</t>
  </si>
  <si>
    <t>ИТОГО по ФОТ</t>
  </si>
  <si>
    <t>Из них на педагогических работников</t>
  </si>
  <si>
    <t>211 "Заработная плата"</t>
  </si>
  <si>
    <t>в т.ч. з/п педагогических работников</t>
  </si>
  <si>
    <t>в т.ч. з/п воспитателей</t>
  </si>
  <si>
    <t>212 "Прочие выплаты "</t>
  </si>
  <si>
    <t>213 "Начисления на оплату труда"</t>
  </si>
  <si>
    <t>за счет ФСС</t>
  </si>
  <si>
    <t>педагогических работников</t>
  </si>
  <si>
    <t>воспитателей</t>
  </si>
  <si>
    <t>Из них на АХП, служащих и вспомогательный персонал</t>
  </si>
  <si>
    <t>211"Заработная плата"</t>
  </si>
  <si>
    <t>212"Прочие выплаты "</t>
  </si>
  <si>
    <t>213"Начисления на оплату труда"</t>
  </si>
  <si>
    <t>221 "Услуги связи"</t>
  </si>
  <si>
    <t>222 "Транспортные услуги"</t>
  </si>
  <si>
    <t>225 "Работы и услуги по содержанию имущества"</t>
  </si>
  <si>
    <t>обслуживание оргтехники</t>
  </si>
  <si>
    <t xml:space="preserve">226 "Прочие работы и услуги"в том числе: </t>
  </si>
  <si>
    <t>310"Увеличение стоимости основных средств" в том числе :</t>
  </si>
  <si>
    <t>340"Увеличение стоимости материальных запасов" в том числе :</t>
  </si>
  <si>
    <t>Х</t>
  </si>
  <si>
    <t>моющие и дезенфицирующие средства</t>
  </si>
  <si>
    <t>ИТОГО областной бюджет</t>
  </si>
  <si>
    <r>
      <t xml:space="preserve">КБК 907-0701-0610000590-611 </t>
    </r>
    <r>
      <rPr>
        <b/>
        <sz val="14"/>
        <color indexed="10"/>
        <rFont val="Arial Cyr"/>
        <family val="2"/>
        <charset val="204"/>
      </rPr>
      <t>(местный бюджет)</t>
    </r>
  </si>
  <si>
    <t>Оплата труда и начисления прочего персонала</t>
  </si>
  <si>
    <t xml:space="preserve">Культмассовые мероприятия </t>
  </si>
  <si>
    <t>Транспортные расходы</t>
  </si>
  <si>
    <t>223 "Коммунальные расходы"</t>
  </si>
  <si>
    <t>225 "Работы и услуги по содержанию имущества" в том числе :</t>
  </si>
  <si>
    <t>текущий ремонт зданий и сооружений</t>
  </si>
  <si>
    <t>текущий ремонт оборудования</t>
  </si>
  <si>
    <t>вывоз мусора</t>
  </si>
  <si>
    <t>дезинфекция</t>
  </si>
  <si>
    <t>обслуживание приборов учета тепла</t>
  </si>
  <si>
    <t xml:space="preserve">тех. обслуживание тревожной сигнализации и систем видеонаблюдения </t>
  </si>
  <si>
    <t>Промывка отопительной системы</t>
  </si>
  <si>
    <t>ТО медицинского оборудования</t>
  </si>
  <si>
    <t xml:space="preserve">226 "Прочие работы и услуги"в т.ч. </t>
  </si>
  <si>
    <t>подготовка кадров(обучение)</t>
  </si>
  <si>
    <t>медосмотр</t>
  </si>
  <si>
    <t>типографские услуги</t>
  </si>
  <si>
    <t>выезд охраны</t>
  </si>
  <si>
    <t>утилизация ламп</t>
  </si>
  <si>
    <t xml:space="preserve">страхование автотранспорта </t>
  </si>
  <si>
    <t xml:space="preserve">290 "Прочие расходы"в т.ч. </t>
  </si>
  <si>
    <t>культмассовые мероприятия</t>
  </si>
  <si>
    <t>налоги (земельный, имущество)</t>
  </si>
  <si>
    <t xml:space="preserve">административные штрафы,пени,госпошлины </t>
  </si>
  <si>
    <t>310 "Увеличение стоимости основных средств"</t>
  </si>
  <si>
    <t>340 "Увеличение стоимости материальных запасов" в том числе :</t>
  </si>
  <si>
    <t>продукты питания</t>
  </si>
  <si>
    <t xml:space="preserve">энергосберегающие  лампы </t>
  </si>
  <si>
    <t xml:space="preserve">мягкий инвентарь </t>
  </si>
  <si>
    <t>хозяйственный  инвентарь</t>
  </si>
  <si>
    <t xml:space="preserve">ИТОГО  </t>
  </si>
  <si>
    <r>
      <t xml:space="preserve">КБК 907-0702-0622552-611 </t>
    </r>
    <r>
      <rPr>
        <b/>
        <sz val="10"/>
        <color indexed="10"/>
        <rFont val="Arial Cyr"/>
        <family val="2"/>
        <charset val="204"/>
      </rPr>
      <t>(организация и проведение мероприятий с детьми)</t>
    </r>
  </si>
  <si>
    <r>
      <t xml:space="preserve">211 </t>
    </r>
    <r>
      <rPr>
        <sz val="10"/>
        <rFont val="Arial Cyr"/>
        <family val="2"/>
        <charset val="204"/>
      </rPr>
      <t xml:space="preserve">" Заработная плата" </t>
    </r>
    <r>
      <rPr>
        <i/>
        <sz val="10"/>
        <rFont val="Arial Cyr"/>
        <family val="2"/>
        <charset val="204"/>
      </rPr>
      <t>(занятость)</t>
    </r>
  </si>
  <si>
    <r>
      <t>212</t>
    </r>
    <r>
      <rPr>
        <sz val="10"/>
        <rFont val="Arial Cyr"/>
        <family val="2"/>
        <charset val="204"/>
      </rPr>
      <t>"Прочие выплаты"</t>
    </r>
  </si>
  <si>
    <r>
      <t>213</t>
    </r>
    <r>
      <rPr>
        <sz val="10"/>
        <rFont val="Arial Cyr"/>
        <family val="2"/>
        <charset val="204"/>
      </rPr>
      <t xml:space="preserve">"Начисления на оплату труда" </t>
    </r>
    <r>
      <rPr>
        <i/>
        <sz val="10"/>
        <rFont val="Arial Cyr"/>
        <family val="2"/>
        <charset val="204"/>
      </rPr>
      <t>(занятость)</t>
    </r>
  </si>
  <si>
    <r>
      <t>222 "</t>
    </r>
    <r>
      <rPr>
        <sz val="10"/>
        <rFont val="Arial Cyr"/>
        <family val="2"/>
        <charset val="204"/>
      </rPr>
      <t xml:space="preserve">Транспортные услуги" </t>
    </r>
    <r>
      <rPr>
        <i/>
        <sz val="10"/>
        <rFont val="Arial Cyr"/>
        <family val="2"/>
        <charset val="204"/>
      </rPr>
      <t xml:space="preserve">культмассовые мероприятия </t>
    </r>
  </si>
  <si>
    <r>
      <t xml:space="preserve">225 </t>
    </r>
    <r>
      <rPr>
        <sz val="10"/>
        <rFont val="Arial Cyr"/>
        <family val="2"/>
        <charset val="204"/>
      </rPr>
      <t>"Работы и услуги по содержанию имущества"</t>
    </r>
    <r>
      <rPr>
        <i/>
        <sz val="10"/>
        <rFont val="Arial Cyr"/>
        <family val="2"/>
        <charset val="204"/>
      </rPr>
      <t xml:space="preserve"> культмассовые мероприятия </t>
    </r>
  </si>
  <si>
    <r>
      <t xml:space="preserve">226 </t>
    </r>
    <r>
      <rPr>
        <sz val="10"/>
        <rFont val="Arial Cyr"/>
        <family val="2"/>
        <charset val="204"/>
      </rPr>
      <t xml:space="preserve">"Прочие услуги" </t>
    </r>
    <r>
      <rPr>
        <i/>
        <sz val="10"/>
        <rFont val="Arial Cyr"/>
        <family val="2"/>
        <charset val="204"/>
      </rPr>
      <t xml:space="preserve">культмассовые мероприятия </t>
    </r>
  </si>
  <si>
    <r>
      <t>290</t>
    </r>
    <r>
      <rPr>
        <sz val="10"/>
        <rFont val="Arial Cyr"/>
        <family val="2"/>
        <charset val="204"/>
      </rPr>
      <t xml:space="preserve"> "Прочие расходы" </t>
    </r>
    <r>
      <rPr>
        <i/>
        <sz val="10"/>
        <rFont val="Arial Cyr"/>
        <family val="2"/>
        <charset val="204"/>
      </rPr>
      <t xml:space="preserve">культмассовые мероприятия </t>
    </r>
  </si>
  <si>
    <r>
      <t xml:space="preserve">340 </t>
    </r>
    <r>
      <rPr>
        <sz val="10"/>
        <rFont val="Arial Cyr"/>
        <family val="2"/>
        <charset val="204"/>
      </rPr>
      <t>" Увеличение стоимости материальных ценностей"</t>
    </r>
  </si>
  <si>
    <t xml:space="preserve">итого </t>
  </si>
  <si>
    <t>Мероприятия по пожарной безопасности за счет средств бюджета города</t>
  </si>
  <si>
    <t>КБК 907-0701-0610025010-611</t>
  </si>
  <si>
    <t>225"Работы и услуги по содержанию имущества"  в том числе:</t>
  </si>
  <si>
    <t>огнезащитная  обработка конструкций</t>
  </si>
  <si>
    <t>установка противопожарных  дверей</t>
  </si>
  <si>
    <t>техническое обслуживание систем АПС и СО, охранной сигнализации</t>
  </si>
  <si>
    <t xml:space="preserve">ремонт АПС и СО и ОКО </t>
  </si>
  <si>
    <t>заправка, ремонт и ТО огнетушителей</t>
  </si>
  <si>
    <t>проф.измерения и испытания электрооборудования</t>
  </si>
  <si>
    <t>испытание и ремонт противопожарных лестниц</t>
  </si>
  <si>
    <t xml:space="preserve">ТО беспроводных систем ОКО </t>
  </si>
  <si>
    <t>ремонт пожарного крана</t>
  </si>
  <si>
    <t xml:space="preserve">226 "Прочие услуги" </t>
  </si>
  <si>
    <t>обучение пожарному минимуму</t>
  </si>
  <si>
    <t>приобретение огнетушителей, пожарных шкафов, пожарных рукавов</t>
  </si>
  <si>
    <t>приобретение планов эвакуации при пожаре, знаков пожарной безопасности</t>
  </si>
  <si>
    <t xml:space="preserve">ИТОГО </t>
  </si>
  <si>
    <t>Итого по областному бюджету</t>
  </si>
  <si>
    <t>Итого по местному бюджету</t>
  </si>
  <si>
    <t xml:space="preserve">Всего по бюджетам </t>
  </si>
  <si>
    <t>213 за счет ФСС</t>
  </si>
  <si>
    <t>внебюджет</t>
  </si>
  <si>
    <t>поступления</t>
  </si>
  <si>
    <t>пожертвование</t>
  </si>
  <si>
    <t>итого</t>
  </si>
  <si>
    <t xml:space="preserve">временное распоряжение </t>
  </si>
  <si>
    <t>ИТОГО</t>
  </si>
  <si>
    <t>ИТОГО по счету 20</t>
  </si>
  <si>
    <t>остаток</t>
  </si>
  <si>
    <t>по лиц.</t>
  </si>
  <si>
    <t>остаток на 01.01.17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</si>
  <si>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</si>
  <si>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</si>
  <si>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</si>
  <si>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</si>
  <si>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</si>
  <si>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</si>
  <si>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</si>
  <si>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</si>
  <si>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</si>
  <si>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</si>
  <si>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</si>
  <si>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</si>
  <si>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 на 01.01.17</t>
  </si>
  <si>
    <t>Доход</t>
  </si>
  <si>
    <t>возврат</t>
  </si>
  <si>
    <t>Дата</t>
  </si>
  <si>
    <t>Родительская плата КБК 130</t>
  </si>
  <si>
    <t>Почта (родительская плата) КБК 130</t>
  </si>
  <si>
    <t>возврат средств</t>
  </si>
  <si>
    <t>Субсидии на перемещение средств</t>
  </si>
  <si>
    <t>Обеспечение заявки КБК</t>
  </si>
  <si>
    <t>Приход за месяц</t>
  </si>
  <si>
    <t>общая р/п</t>
  </si>
  <si>
    <t>врем.</t>
  </si>
  <si>
    <t>Расход питания</t>
  </si>
  <si>
    <t>возврат излишн. Род. пл.</t>
  </si>
  <si>
    <t>расход обеспечения заявки</t>
  </si>
  <si>
    <t>всего расход</t>
  </si>
  <si>
    <t>Остаток денежных средств</t>
  </si>
  <si>
    <t>расход (оплата продуктов питания)</t>
  </si>
  <si>
    <t>лицевой счет 21</t>
  </si>
  <si>
    <t>Местный бюджет</t>
  </si>
  <si>
    <t>907-0701-06 1 00 00590-612</t>
  </si>
  <si>
    <t>Всего: по 612</t>
  </si>
  <si>
    <t>Главный бухгалтер                                     Ю.В. Хрипунова</t>
  </si>
  <si>
    <t xml:space="preserve">Заведующий                                                 Л.Ю. Лебедева                               </t>
  </si>
  <si>
    <t>по исполнит. листу</t>
  </si>
  <si>
    <t>обслуживание программного обеспечения</t>
  </si>
  <si>
    <t>материалы (сантенхнич.)</t>
  </si>
  <si>
    <t>всего</t>
  </si>
  <si>
    <t>исполнительный лист 140</t>
  </si>
  <si>
    <t>налог на прибыль</t>
  </si>
  <si>
    <t>общий приход</t>
  </si>
  <si>
    <t>Приход р/п за месяц</t>
  </si>
  <si>
    <t xml:space="preserve">исполнительный лист </t>
  </si>
  <si>
    <t>техобслуживание и планово-предупредительный ремонт (ТО и ППР) противопожарного водопровода</t>
  </si>
  <si>
    <t>электротовары</t>
  </si>
  <si>
    <t>аварийный ремонт системы отопления</t>
  </si>
  <si>
    <t xml:space="preserve">покрытие детской спортивной площадки </t>
  </si>
  <si>
    <t xml:space="preserve">моющие </t>
  </si>
  <si>
    <t>дезенфицирующие средства</t>
  </si>
  <si>
    <t>налог на прибыль 913,28</t>
  </si>
  <si>
    <t>Поверка средств измерения</t>
  </si>
  <si>
    <t>возврат излишн. род. пл.</t>
  </si>
  <si>
    <t xml:space="preserve">ноябрь </t>
  </si>
  <si>
    <t>производственный контроль</t>
  </si>
  <si>
    <t>витаминизация</t>
  </si>
  <si>
    <t>комплектующие для компьютера</t>
  </si>
  <si>
    <t>игрушки</t>
  </si>
  <si>
    <t>спорт. инвентарь</t>
  </si>
  <si>
    <t>бумага для офисной техники, канц. товары</t>
  </si>
  <si>
    <t>хоз.инвентарь</t>
  </si>
  <si>
    <t>остаток на 01.01.2018</t>
  </si>
  <si>
    <t>На 01.01.2018 г.</t>
  </si>
  <si>
    <t>перенесла из области касса -50 рублей в город кассу +50 (212)</t>
  </si>
  <si>
    <t>письмо на перраспределение финансир.</t>
  </si>
  <si>
    <t xml:space="preserve">младшие воспитатели </t>
  </si>
  <si>
    <t>АХП</t>
  </si>
  <si>
    <t>211"Заработная плата" в т.ч.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</si>
  <si>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</si>
  <si>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Главный бухгалтер</t>
  </si>
  <si>
    <t xml:space="preserve">291 "Прочие расходы"в т.ч. </t>
  </si>
  <si>
    <t>промывка и опрессовка</t>
  </si>
  <si>
    <t>мат. капит.</t>
  </si>
  <si>
    <t xml:space="preserve">освещение </t>
  </si>
  <si>
    <t>водоснабжение</t>
  </si>
  <si>
    <t>342 "Увеличение стоимости материальных запасов" в том числе :</t>
  </si>
  <si>
    <t>ВСЕГО  по 266 "Социальные пособия и компенсация персоналу"</t>
  </si>
  <si>
    <t>ТКО</t>
  </si>
  <si>
    <t>226"Прочие выплаты "</t>
  </si>
  <si>
    <t>K_^5cz1bF</t>
  </si>
  <si>
    <t>hj5!=~!Py2CN</t>
  </si>
  <si>
    <t>200170!lara</t>
  </si>
  <si>
    <t xml:space="preserve"> </t>
  </si>
  <si>
    <t>346"Увеличение стоимости материальных запасов" в том числе :</t>
  </si>
  <si>
    <t xml:space="preserve">исполнитель-ный лист </t>
  </si>
  <si>
    <t>огнезащитная обработка конструкций</t>
  </si>
  <si>
    <t xml:space="preserve">периодическая печать </t>
  </si>
  <si>
    <t>возврат средств от поставщика</t>
  </si>
  <si>
    <t>добровольное пожертвование</t>
  </si>
  <si>
    <t>04.10.219</t>
  </si>
  <si>
    <t>907-0701-06 1 00 S4220-612 область (Резервный бюджет)</t>
  </si>
  <si>
    <r>
      <rPr>
        <b/>
        <sz val="10"/>
        <rFont val="Arial"/>
        <family val="2"/>
        <charset val="204"/>
      </rPr>
      <t>225 "Работы и услуги по содержанию имущества"</t>
    </r>
    <r>
      <rPr>
        <sz val="10"/>
        <rFont val="Arial"/>
        <family val="2"/>
        <charset val="204"/>
      </rPr>
      <t xml:space="preserve"> - выборочный капитальный ремонт кровли</t>
    </r>
  </si>
  <si>
    <t>346 "Увеличение стоимости материальных запасов" в том числе :</t>
  </si>
  <si>
    <t>345 "Увеличение стоимости мягкого инвентаря</t>
  </si>
  <si>
    <t>ТО системы АПС и СО</t>
  </si>
  <si>
    <t>остаток на 01.05.2020</t>
  </si>
  <si>
    <r>
      <t xml:space="preserve">КБК 907-0701-0610072460-611 </t>
    </r>
    <r>
      <rPr>
        <b/>
        <sz val="14"/>
        <color indexed="60"/>
        <rFont val="Arial Cyr"/>
        <family val="2"/>
        <charset val="204"/>
      </rPr>
      <t>(областной бюджет)</t>
    </r>
  </si>
  <si>
    <t>пособие по уходу за ребенком до 3лет</t>
  </si>
  <si>
    <t>пособия за первые три дня временной нетрудоспособности</t>
  </si>
  <si>
    <t>КВР</t>
  </si>
  <si>
    <t>112+113</t>
  </si>
  <si>
    <t>итого по 112</t>
  </si>
  <si>
    <t>КБК 907-0701-0610000590-611</t>
  </si>
  <si>
    <t>Ф.И.О.</t>
  </si>
  <si>
    <t>остаток на 01.06.2020</t>
  </si>
  <si>
    <t>Код цели</t>
  </si>
  <si>
    <t>О20</t>
  </si>
  <si>
    <t>ПРОВЕРКА</t>
  </si>
  <si>
    <t>МБДОУ ДС «Малыш» г.Волгодонска</t>
  </si>
  <si>
    <t>Заведующий МБДОУ ДС «Малыш»г.Волгодонска</t>
  </si>
  <si>
    <t>Михайлец Л.А.</t>
  </si>
  <si>
    <t>Великородная Н.Н.</t>
  </si>
  <si>
    <t>Наименование учреждения  МБДОУ ДС «Малыш»г.Волгодонска</t>
  </si>
  <si>
    <t>аварийный ремонт сантехсистем</t>
  </si>
  <si>
    <t>освещение</t>
  </si>
  <si>
    <t>услуги по вывозу ТКО</t>
  </si>
  <si>
    <t xml:space="preserve"> то тревжоной сигнализации</t>
  </si>
  <si>
    <t>то медоборудования</t>
  </si>
  <si>
    <t>223 "Коммунальные услуги"</t>
  </si>
  <si>
    <t xml:space="preserve">342 "Увеличение стоимости мат.запасов"в том числе: </t>
  </si>
  <si>
    <t>296 "Иные расходы на выплаты тек.характера"</t>
  </si>
  <si>
    <t>907-0701-06 1 00 0059-612 город</t>
  </si>
  <si>
    <t>облуживание приборов учета</t>
  </si>
  <si>
    <t>поверка узлов учета</t>
  </si>
  <si>
    <t>907-070106 1 00 71180</t>
  </si>
  <si>
    <t>Иные расходы, связанные с увеличением стоимости основных средств</t>
  </si>
  <si>
    <t>игрушки,нагляд.пособия</t>
  </si>
  <si>
    <t>младшие воспитатели</t>
  </si>
  <si>
    <t>остаток  на 01.01.2022</t>
  </si>
  <si>
    <t>отопление и горячее водоснабжение</t>
  </si>
  <si>
    <t>остаток  на 01.01.2023</t>
  </si>
  <si>
    <t>остаток на 01.01.2023</t>
  </si>
  <si>
    <t xml:space="preserve"> тех.обслуж. оборуд. ЕДДС</t>
  </si>
  <si>
    <t>физ.охрана</t>
  </si>
  <si>
    <t>Пенсии, пособия, выплачиваемые работодателями, нанимателями бывшим работникам в денежной форме</t>
  </si>
  <si>
    <t>321 «Пособия, компенсации и иные социальные выплаты гражданам, кроме публичных нормативных обязательств».в том числе</t>
  </si>
  <si>
    <t>ПП "Парус"</t>
  </si>
  <si>
    <t>тех. обслуживание оборудования для передачи тревожных сообщений с выводом сигнала о срабатывании в ситуационный центр "службы 112"ПЦН ЕДДС г. Волгодонска</t>
  </si>
  <si>
    <t>противоклещевая обработка</t>
  </si>
  <si>
    <t>мед оборудование</t>
  </si>
  <si>
    <t>1-00-05</t>
  </si>
  <si>
    <t>поверка средств измерения</t>
  </si>
  <si>
    <t>На 01.10.2023.</t>
  </si>
  <si>
    <t>На 01.11.2023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</si>
</sst>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0;\-#,##0.00"/>
    <numFmt numFmtId="173" formatCode="0.00E+000"/>
    <numFmt numFmtId="176" formatCode="dd&quot;.&quot;mm&quot;.&quot;yy"/>
    <numFmt numFmtId="177" formatCode="[$-419]0.00"/>
    <numFmt numFmtId="178" formatCode="[$-419]dd&quot;.&quot;mm&quot;.&quot;yy"/>
  </numFmts>
  <fonts count="114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60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7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10"/>
      <name val="Arial Cyr"/>
      <family val="2"/>
      <charset val="204"/>
    </font>
    <font>
      <i/>
      <sz val="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color indexed="2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color indexed="22"/>
      <name val="Arial Cyr"/>
      <family val="2"/>
      <charset val="204"/>
    </font>
    <font>
      <sz val="10"/>
      <color indexed="15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indexed="16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53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color indexed="16"/>
      <name val="Arial Cyr"/>
      <charset val="204"/>
    </font>
    <font>
      <b/>
      <sz val="10"/>
      <color indexed="29"/>
      <name val="Arial Cyr"/>
      <charset val="204"/>
    </font>
    <font>
      <b/>
      <sz val="10"/>
      <color indexed="10"/>
      <name val="Arial Cyr"/>
      <charset val="204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1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0"/>
      <color indexed="27"/>
      <name val="Arial Cyr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 Cyr"/>
      <family val="2"/>
      <charset val="204"/>
    </font>
    <font>
      <b/>
      <i/>
      <sz val="14"/>
      <color indexed="16"/>
      <name val="Arial Cyr"/>
      <charset val="204"/>
    </font>
    <font>
      <sz val="14"/>
      <color indexed="10"/>
      <name val="Arial Cyr"/>
      <family val="2"/>
      <charset val="204"/>
    </font>
    <font>
      <sz val="14"/>
      <color indexed="22"/>
      <name val="Arial Cyr"/>
      <family val="2"/>
      <charset val="204"/>
    </font>
    <font>
      <b/>
      <sz val="14"/>
      <name val="Arial Cyr"/>
      <charset val="204"/>
    </font>
    <font>
      <b/>
      <i/>
      <sz val="14"/>
      <name val="Arial Cyr"/>
      <family val="2"/>
      <charset val="204"/>
    </font>
    <font>
      <sz val="14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color indexed="16"/>
      <name val="Arial Cyr"/>
      <charset val="204"/>
    </font>
    <font>
      <sz val="12"/>
      <color indexed="10"/>
      <name val="Arial Cyr"/>
      <family val="2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2"/>
      <color indexed="22"/>
      <name val="Arial Cyr"/>
      <family val="2"/>
      <charset val="204"/>
    </font>
    <font>
      <b/>
      <sz val="10"/>
      <color indexed="16"/>
      <name val="Arial Cyr"/>
      <charset val="204"/>
    </font>
    <font>
      <sz val="9"/>
      <name val="Arial Cyr"/>
      <charset val="204"/>
    </font>
    <font>
      <sz val="8"/>
      <name val="Arial"/>
      <family val="2"/>
    </font>
    <font>
      <sz val="8"/>
      <name val="Verdana"/>
      <family val="2"/>
    </font>
    <font>
      <b/>
      <sz val="18"/>
      <name val="Times New Roman"/>
      <family val="1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i/>
      <sz val="10"/>
      <color indexed="60"/>
      <name val="Arial Cyr"/>
      <charset val="204"/>
    </font>
    <font>
      <sz val="10"/>
      <color indexed="60"/>
      <name val="Arial Cyr"/>
      <charset val="204"/>
    </font>
    <font>
      <b/>
      <i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b/>
      <sz val="8"/>
      <color rgb="FF000000"/>
      <name val="Arial1"/>
      <charset val="204"/>
    </font>
    <font>
      <b/>
      <sz val="10"/>
      <color rgb="FF000000"/>
      <name val="Arial2"/>
      <charset val="204"/>
    </font>
    <font>
      <b/>
      <sz val="10"/>
      <color rgb="FF000000"/>
      <name val="Arial1"/>
      <charset val="204"/>
    </font>
    <font>
      <sz val="8"/>
      <color rgb="FF000000"/>
      <name val="Arial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2"/>
      <charset val="204"/>
    </font>
    <font>
      <b/>
      <sz val="7"/>
      <color rgb="FFFF0000"/>
      <name val="Arial2"/>
      <charset val="204"/>
    </font>
    <font>
      <b/>
      <sz val="10"/>
      <color rgb="FFFF0000"/>
      <name val="Arial2"/>
      <charset val="204"/>
    </font>
    <font>
      <b/>
      <sz val="8"/>
      <color rgb="FFDC2300"/>
      <name val="Arial2"/>
      <charset val="204"/>
    </font>
    <font>
      <b/>
      <sz val="10"/>
      <color rgb="FFDC2300"/>
      <name val="Arial2"/>
      <charset val="204"/>
    </font>
    <font>
      <b/>
      <sz val="9"/>
      <color rgb="FF000000"/>
      <name val="Arial2"/>
      <charset val="204"/>
    </font>
    <font>
      <b/>
      <sz val="11"/>
      <color rgb="FF000000"/>
      <name val="Arial2"/>
      <charset val="204"/>
    </font>
    <font>
      <sz val="10"/>
      <color rgb="FF000000"/>
      <name val="Arial2"/>
      <charset val="204"/>
    </font>
    <font>
      <sz val="10"/>
      <color rgb="FF000000"/>
      <name val="Arial1"/>
      <charset val="204"/>
    </font>
    <font>
      <sz val="9"/>
      <color rgb="FF000000"/>
      <name val="Arial1"/>
      <charset val="204"/>
    </font>
    <font>
      <sz val="9"/>
      <color rgb="FF000000"/>
      <name val="Arial2"/>
      <charset val="204"/>
    </font>
    <font>
      <b/>
      <sz val="12"/>
      <color rgb="FF000000"/>
      <name val="Arial2"/>
      <charset val="204"/>
    </font>
    <font>
      <b/>
      <sz val="11"/>
      <color rgb="FF000000"/>
      <name val="Arial1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2"/>
      <color theme="0"/>
      <name val="Times New Roman"/>
      <family val="1"/>
      <charset val="204"/>
    </font>
    <font>
      <b/>
      <sz val="9"/>
      <color rgb="FFFF0000"/>
      <name val="Arial2"/>
      <charset val="204"/>
    </font>
    <font>
      <b/>
      <sz val="12"/>
      <color rgb="FFFF0000"/>
      <name val="Arial2"/>
      <charset val="204"/>
    </font>
    <font>
      <sz val="14"/>
      <color rgb="FF000000"/>
      <name val="Arial2"/>
      <charset val="204"/>
    </font>
    <font>
      <sz val="11"/>
      <color rgb="FF000000"/>
      <name val="Arial2"/>
      <charset val="204"/>
    </font>
    <font>
      <sz val="12"/>
      <color rgb="FF000000"/>
      <name val="Arial2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9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9"/>
      <color rgb="FFFF0000"/>
      <name val="Arial Cyr"/>
      <family val="2"/>
      <charset val="204"/>
    </font>
    <font>
      <i/>
      <sz val="9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sz val="14"/>
      <color rgb="FF000000"/>
      <name val="Arial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6E6FF"/>
        <bgColor rgb="FFE6E6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FD6E5"/>
        <bgColor rgb="FFCFD6E5"/>
      </patternFill>
    </fill>
    <fill>
      <patternFill patternType="solid">
        <fgColor rgb="FF94BD5E"/>
        <bgColor rgb="FF94BD5E"/>
      </patternFill>
    </fill>
    <fill>
      <patternFill patternType="solid">
        <fgColor rgb="FFFF420E"/>
        <bgColor rgb="FFFF420E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5"/>
      </patternFill>
    </fill>
    <fill>
      <patternFill patternType="solid">
        <fgColor theme="0"/>
        <bgColor rgb="FF94BD5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49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0" fillId="0" borderId="0"/>
  </cellStyleXfs>
  <cellXfs count="723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1" applyFont="1" applyFill="1"/>
    <xf numFmtId="0" fontId="2" fillId="0" borderId="0" xfId="1" applyFont="1" applyFill="1" applyAlignment="1"/>
    <xf numFmtId="0" fontId="1" fillId="0" borderId="1" xfId="1" applyFill="1" applyBorder="1"/>
    <xf numFmtId="0" fontId="2" fillId="0" borderId="1" xfId="1" applyFont="1" applyFill="1" applyBorder="1"/>
    <xf numFmtId="0" fontId="1" fillId="0" borderId="0" xfId="1" applyFont="1" applyFill="1" applyBorder="1"/>
    <xf numFmtId="0" fontId="1" fillId="0" borderId="0" xfId="1" applyFill="1" applyBorder="1"/>
    <xf numFmtId="0" fontId="2" fillId="0" borderId="0" xfId="1" applyFont="1" applyFill="1" applyBorder="1"/>
    <xf numFmtId="0" fontId="3" fillId="0" borderId="0" xfId="1" applyFont="1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/>
    </xf>
    <xf numFmtId="4" fontId="5" fillId="0" borderId="7" xfId="1" applyNumberFormat="1" applyFont="1" applyFill="1" applyBorder="1"/>
    <xf numFmtId="4" fontId="6" fillId="0" borderId="8" xfId="1" applyNumberFormat="1" applyFont="1" applyFill="1" applyBorder="1"/>
    <xf numFmtId="4" fontId="1" fillId="0" borderId="0" xfId="1" applyNumberFormat="1" applyFill="1"/>
    <xf numFmtId="0" fontId="7" fillId="0" borderId="9" xfId="1" applyFont="1" applyFill="1" applyBorder="1" applyAlignment="1">
      <alignment horizontal="left" wrapText="1"/>
    </xf>
    <xf numFmtId="0" fontId="8" fillId="0" borderId="9" xfId="1" applyFont="1" applyFill="1" applyBorder="1"/>
    <xf numFmtId="4" fontId="9" fillId="0" borderId="9" xfId="1" applyNumberFormat="1" applyFont="1" applyFill="1" applyBorder="1"/>
    <xf numFmtId="4" fontId="6" fillId="0" borderId="9" xfId="1" applyNumberFormat="1" applyFont="1" applyFill="1" applyBorder="1"/>
    <xf numFmtId="4" fontId="10" fillId="0" borderId="0" xfId="1" applyNumberFormat="1" applyFont="1" applyFill="1"/>
    <xf numFmtId="0" fontId="10" fillId="0" borderId="0" xfId="1" applyFont="1" applyFill="1"/>
    <xf numFmtId="0" fontId="5" fillId="0" borderId="10" xfId="1" applyFont="1" applyFill="1" applyBorder="1" applyAlignment="1">
      <alignment horizontal="left" wrapText="1"/>
    </xf>
    <xf numFmtId="4" fontId="5" fillId="0" borderId="8" xfId="1" applyNumberFormat="1" applyFont="1" applyFill="1" applyBorder="1"/>
    <xf numFmtId="0" fontId="5" fillId="0" borderId="11" xfId="1" applyFont="1" applyFill="1" applyBorder="1" applyAlignment="1">
      <alignment horizontal="left" wrapText="1"/>
    </xf>
    <xf numFmtId="4" fontId="5" fillId="0" borderId="9" xfId="1" applyNumberFormat="1" applyFont="1" applyFill="1" applyBorder="1"/>
    <xf numFmtId="0" fontId="7" fillId="0" borderId="2" xfId="1" applyFont="1" applyFill="1" applyBorder="1" applyAlignment="1">
      <alignment horizontal="left" wrapText="1"/>
    </xf>
    <xf numFmtId="0" fontId="8" fillId="0" borderId="2" xfId="1" applyFont="1" applyFill="1" applyBorder="1"/>
    <xf numFmtId="4" fontId="9" fillId="0" borderId="2" xfId="1" applyNumberFormat="1" applyFont="1" applyFill="1" applyBorder="1"/>
    <xf numFmtId="4" fontId="1" fillId="3" borderId="0" xfId="1" applyNumberFormat="1" applyFill="1"/>
    <xf numFmtId="0" fontId="1" fillId="3" borderId="0" xfId="1" applyFill="1"/>
    <xf numFmtId="0" fontId="11" fillId="4" borderId="3" xfId="1" applyFont="1" applyFill="1" applyBorder="1" applyAlignment="1">
      <alignment horizontal="left"/>
    </xf>
    <xf numFmtId="0" fontId="2" fillId="4" borderId="3" xfId="1" applyFont="1" applyFill="1" applyBorder="1" applyAlignment="1">
      <alignment horizontal="left"/>
    </xf>
    <xf numFmtId="0" fontId="11" fillId="4" borderId="12" xfId="1" applyFont="1" applyFill="1" applyBorder="1" applyAlignment="1">
      <alignment horizontal="left"/>
    </xf>
    <xf numFmtId="0" fontId="11" fillId="4" borderId="13" xfId="1" applyFont="1" applyFill="1" applyBorder="1" applyAlignment="1">
      <alignment horizontal="left"/>
    </xf>
    <xf numFmtId="0" fontId="11" fillId="0" borderId="8" xfId="1" applyFont="1" applyFill="1" applyBorder="1" applyAlignment="1">
      <alignment horizontal="left"/>
    </xf>
    <xf numFmtId="4" fontId="8" fillId="0" borderId="8" xfId="1" applyNumberFormat="1" applyFont="1" applyFill="1" applyBorder="1"/>
    <xf numFmtId="0" fontId="11" fillId="0" borderId="9" xfId="1" applyFont="1" applyFill="1" applyBorder="1" applyAlignment="1">
      <alignment horizontal="left"/>
    </xf>
    <xf numFmtId="4" fontId="8" fillId="0" borderId="9" xfId="1" applyNumberFormat="1" applyFont="1" applyFill="1" applyBorder="1"/>
    <xf numFmtId="0" fontId="12" fillId="0" borderId="9" xfId="1" applyFont="1" applyFill="1" applyBorder="1" applyAlignment="1">
      <alignment horizontal="left"/>
    </xf>
    <xf numFmtId="4" fontId="13" fillId="0" borderId="9" xfId="1" applyNumberFormat="1" applyFont="1" applyFill="1" applyBorder="1"/>
    <xf numFmtId="4" fontId="14" fillId="0" borderId="9" xfId="1" applyNumberFormat="1" applyFont="1" applyFill="1" applyBorder="1"/>
    <xf numFmtId="0" fontId="11" fillId="4" borderId="5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 wrapText="1"/>
    </xf>
    <xf numFmtId="0" fontId="1" fillId="0" borderId="9" xfId="1" applyFont="1" applyFill="1" applyBorder="1" applyAlignment="1">
      <alignment horizontal="left" wrapText="1"/>
    </xf>
    <xf numFmtId="4" fontId="1" fillId="0" borderId="0" xfId="1" applyNumberFormat="1" applyFont="1" applyFill="1"/>
    <xf numFmtId="0" fontId="8" fillId="0" borderId="9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1" fillId="0" borderId="9" xfId="1" applyFont="1" applyFill="1" applyBorder="1" applyAlignment="1">
      <alignment wrapText="1"/>
    </xf>
    <xf numFmtId="4" fontId="6" fillId="3" borderId="9" xfId="1" applyNumberFormat="1" applyFont="1" applyFill="1" applyBorder="1"/>
    <xf numFmtId="0" fontId="3" fillId="4" borderId="3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0" fontId="2" fillId="4" borderId="5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16" fillId="0" borderId="9" xfId="1" applyFont="1" applyFill="1" applyBorder="1" applyAlignment="1">
      <alignment horizontal="left"/>
    </xf>
    <xf numFmtId="0" fontId="1" fillId="0" borderId="9" xfId="1" applyFont="1" applyFill="1" applyBorder="1" applyAlignment="1">
      <alignment horizontal="left"/>
    </xf>
    <xf numFmtId="4" fontId="5" fillId="0" borderId="9" xfId="1" applyNumberFormat="1" applyFont="1" applyFill="1" applyBorder="1" applyAlignment="1">
      <alignment horizontal="center"/>
    </xf>
    <xf numFmtId="4" fontId="6" fillId="0" borderId="9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9" xfId="1" applyNumberFormat="1" applyFont="1" applyFill="1" applyBorder="1" applyAlignment="1">
      <alignment horizontal="center"/>
    </xf>
    <xf numFmtId="2" fontId="9" fillId="0" borderId="9" xfId="1" applyNumberFormat="1" applyFont="1" applyFill="1" applyBorder="1"/>
    <xf numFmtId="0" fontId="1" fillId="3" borderId="9" xfId="1" applyFont="1" applyFill="1" applyBorder="1" applyAlignment="1">
      <alignment horizontal="left"/>
    </xf>
    <xf numFmtId="0" fontId="9" fillId="0" borderId="9" xfId="1" applyFont="1" applyFill="1" applyBorder="1"/>
    <xf numFmtId="2" fontId="5" fillId="0" borderId="9" xfId="1" applyNumberFormat="1" applyFont="1" applyFill="1" applyBorder="1"/>
    <xf numFmtId="2" fontId="6" fillId="0" borderId="9" xfId="1" applyNumberFormat="1" applyFont="1" applyFill="1" applyBorder="1"/>
    <xf numFmtId="0" fontId="8" fillId="3" borderId="9" xfId="1" applyFont="1" applyFill="1" applyBorder="1" applyAlignment="1">
      <alignment horizontal="center"/>
    </xf>
    <xf numFmtId="4" fontId="9" fillId="0" borderId="9" xfId="1" applyNumberFormat="1" applyFont="1" applyFill="1" applyBorder="1" applyAlignment="1">
      <alignment horizontal="right"/>
    </xf>
    <xf numFmtId="4" fontId="6" fillId="3" borderId="8" xfId="1" applyNumberFormat="1" applyFont="1" applyFill="1" applyBorder="1"/>
    <xf numFmtId="0" fontId="1" fillId="5" borderId="0" xfId="1" applyFill="1"/>
    <xf numFmtId="0" fontId="2" fillId="6" borderId="9" xfId="1" applyFont="1" applyFill="1" applyBorder="1" applyAlignment="1">
      <alignment wrapText="1"/>
    </xf>
    <xf numFmtId="4" fontId="1" fillId="6" borderId="9" xfId="1" applyNumberFormat="1" applyFont="1" applyFill="1" applyBorder="1" applyAlignment="1"/>
    <xf numFmtId="4" fontId="2" fillId="6" borderId="9" xfId="1" applyNumberFormat="1" applyFont="1" applyFill="1" applyBorder="1" applyAlignment="1"/>
    <xf numFmtId="0" fontId="2" fillId="6" borderId="9" xfId="1" applyFont="1" applyFill="1" applyBorder="1" applyAlignment="1">
      <alignment horizontal="left" wrapText="1"/>
    </xf>
    <xf numFmtId="4" fontId="1" fillId="6" borderId="9" xfId="1" applyNumberFormat="1" applyFont="1" applyFill="1" applyBorder="1"/>
    <xf numFmtId="4" fontId="2" fillId="6" borderId="9" xfId="1" applyNumberFormat="1" applyFont="1" applyFill="1" applyBorder="1"/>
    <xf numFmtId="0" fontId="2" fillId="7" borderId="9" xfId="1" applyFont="1" applyFill="1" applyBorder="1" applyAlignment="1">
      <alignment horizontal="left" wrapText="1"/>
    </xf>
    <xf numFmtId="4" fontId="2" fillId="7" borderId="9" xfId="1" applyNumberFormat="1" applyFont="1" applyFill="1" applyBorder="1"/>
    <xf numFmtId="0" fontId="19" fillId="0" borderId="0" xfId="1" applyFont="1" applyFill="1" applyBorder="1" applyAlignment="1">
      <alignment horizontal="left" wrapText="1"/>
    </xf>
    <xf numFmtId="4" fontId="18" fillId="0" borderId="0" xfId="1" applyNumberFormat="1" applyFont="1" applyFill="1" applyBorder="1"/>
    <xf numFmtId="4" fontId="19" fillId="0" borderId="0" xfId="1" applyNumberFormat="1" applyFont="1" applyFill="1" applyBorder="1"/>
    <xf numFmtId="172" fontId="1" fillId="0" borderId="0" xfId="1" applyNumberFormat="1" applyFont="1" applyFill="1"/>
    <xf numFmtId="172" fontId="20" fillId="0" borderId="0" xfId="1" applyNumberFormat="1" applyFont="1" applyFill="1"/>
    <xf numFmtId="172" fontId="2" fillId="0" borderId="0" xfId="1" applyNumberFormat="1" applyFont="1" applyFill="1"/>
    <xf numFmtId="2" fontId="6" fillId="0" borderId="9" xfId="1" applyNumberFormat="1" applyFont="1" applyFill="1" applyBorder="1" applyAlignment="1">
      <alignment horizontal="center"/>
    </xf>
    <xf numFmtId="0" fontId="20" fillId="0" borderId="0" xfId="1" applyFont="1" applyFill="1"/>
    <xf numFmtId="4" fontId="8" fillId="0" borderId="0" xfId="1" applyNumberFormat="1" applyFont="1" applyFill="1" applyBorder="1"/>
    <xf numFmtId="4" fontId="9" fillId="0" borderId="0" xfId="1" applyNumberFormat="1" applyFont="1" applyFill="1" applyBorder="1"/>
    <xf numFmtId="4" fontId="6" fillId="0" borderId="0" xfId="1" applyNumberFormat="1" applyFont="1" applyFill="1" applyBorder="1"/>
    <xf numFmtId="0" fontId="21" fillId="0" borderId="9" xfId="1" applyFont="1" applyFill="1" applyBorder="1" applyAlignment="1">
      <alignment horizontal="left"/>
    </xf>
    <xf numFmtId="0" fontId="21" fillId="0" borderId="9" xfId="1" applyFont="1" applyFill="1" applyBorder="1" applyAlignment="1">
      <alignment horizontal="left" wrapText="1"/>
    </xf>
    <xf numFmtId="0" fontId="18" fillId="0" borderId="0" xfId="1" applyFont="1" applyFill="1" applyBorder="1" applyAlignment="1">
      <alignment horizontal="right"/>
    </xf>
    <xf numFmtId="4" fontId="19" fillId="0" borderId="1" xfId="1" applyNumberFormat="1" applyFont="1" applyFill="1" applyBorder="1"/>
    <xf numFmtId="4" fontId="23" fillId="0" borderId="0" xfId="1" applyNumberFormat="1" applyFont="1" applyFill="1" applyBorder="1"/>
    <xf numFmtId="4" fontId="24" fillId="0" borderId="0" xfId="1" applyNumberFormat="1" applyFont="1" applyFill="1"/>
    <xf numFmtId="0" fontId="25" fillId="0" borderId="0" xfId="1" applyFont="1" applyFill="1"/>
    <xf numFmtId="0" fontId="1" fillId="0" borderId="9" xfId="1" applyFill="1" applyBorder="1"/>
    <xf numFmtId="4" fontId="2" fillId="0" borderId="9" xfId="1" applyNumberFormat="1" applyFont="1" applyFill="1" applyBorder="1" applyAlignment="1"/>
    <xf numFmtId="2" fontId="1" fillId="0" borderId="0" xfId="1" applyNumberFormat="1" applyFill="1"/>
    <xf numFmtId="0" fontId="2" fillId="0" borderId="9" xfId="1" applyFont="1" applyFill="1" applyBorder="1" applyAlignment="1"/>
    <xf numFmtId="0" fontId="21" fillId="0" borderId="9" xfId="1" applyFont="1" applyFill="1" applyBorder="1"/>
    <xf numFmtId="0" fontId="22" fillId="0" borderId="0" xfId="1" applyFont="1" applyFill="1"/>
    <xf numFmtId="0" fontId="1" fillId="0" borderId="9" xfId="1" applyFont="1" applyFill="1" applyBorder="1" applyAlignment="1">
      <alignment horizontal="center" vertical="center" wrapText="1"/>
    </xf>
    <xf numFmtId="2" fontId="8" fillId="0" borderId="9" xfId="1" applyNumberFormat="1" applyFont="1" applyFill="1" applyBorder="1"/>
    <xf numFmtId="0" fontId="1" fillId="0" borderId="9" xfId="1" applyFill="1" applyBorder="1" applyAlignment="1">
      <alignment horizontal="right"/>
    </xf>
    <xf numFmtId="4" fontId="26" fillId="0" borderId="9" xfId="1" applyNumberFormat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7" fillId="0" borderId="9" xfId="1" applyFont="1" applyFill="1" applyBorder="1"/>
    <xf numFmtId="4" fontId="27" fillId="0" borderId="9" xfId="1" applyNumberFormat="1" applyFont="1" applyFill="1" applyBorder="1" applyAlignment="1">
      <alignment horizontal="right" vertical="center" wrapText="1"/>
    </xf>
    <xf numFmtId="14" fontId="28" fillId="0" borderId="0" xfId="1" applyNumberFormat="1" applyFont="1" applyFill="1"/>
    <xf numFmtId="4" fontId="1" fillId="0" borderId="9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19" fillId="0" borderId="9" xfId="1" applyFont="1" applyFill="1" applyBorder="1" applyAlignment="1">
      <alignment horizontal="left"/>
    </xf>
    <xf numFmtId="4" fontId="19" fillId="0" borderId="9" xfId="1" applyNumberFormat="1" applyFont="1" applyFill="1" applyBorder="1"/>
    <xf numFmtId="0" fontId="0" fillId="0" borderId="0" xfId="0" applyFont="1" applyBorder="1"/>
    <xf numFmtId="0" fontId="29" fillId="0" borderId="0" xfId="0" applyFont="1"/>
    <xf numFmtId="2" fontId="17" fillId="0" borderId="0" xfId="1" applyNumberFormat="1" applyFont="1" applyFill="1"/>
    <xf numFmtId="0" fontId="2" fillId="4" borderId="8" xfId="1" applyFont="1" applyFill="1" applyBorder="1" applyAlignment="1">
      <alignment horizontal="left"/>
    </xf>
    <xf numFmtId="4" fontId="71" fillId="0" borderId="9" xfId="1" applyNumberFormat="1" applyFont="1" applyFill="1" applyBorder="1" applyAlignment="1">
      <alignment horizontal="right"/>
    </xf>
    <xf numFmtId="0" fontId="2" fillId="14" borderId="14" xfId="1" applyFont="1" applyFill="1" applyBorder="1"/>
    <xf numFmtId="4" fontId="5" fillId="14" borderId="14" xfId="1" applyNumberFormat="1" applyFont="1" applyFill="1" applyBorder="1"/>
    <xf numFmtId="4" fontId="6" fillId="14" borderId="14" xfId="1" applyNumberFormat="1" applyFont="1" applyFill="1" applyBorder="1"/>
    <xf numFmtId="0" fontId="2" fillId="14" borderId="15" xfId="1" applyFont="1" applyFill="1" applyBorder="1" applyAlignment="1">
      <alignment wrapText="1"/>
    </xf>
    <xf numFmtId="4" fontId="5" fillId="14" borderId="16" xfId="1" applyNumberFormat="1" applyFont="1" applyFill="1" applyBorder="1" applyAlignment="1">
      <alignment horizontal="center"/>
    </xf>
    <xf numFmtId="4" fontId="6" fillId="14" borderId="16" xfId="1" applyNumberFormat="1" applyFont="1" applyFill="1" applyBorder="1" applyAlignment="1">
      <alignment horizontal="center"/>
    </xf>
    <xf numFmtId="4" fontId="6" fillId="14" borderId="17" xfId="1" applyNumberFormat="1" applyFont="1" applyFill="1" applyBorder="1" applyAlignment="1">
      <alignment horizontal="center"/>
    </xf>
    <xf numFmtId="0" fontId="3" fillId="2" borderId="18" xfId="1" applyFont="1" applyFill="1" applyBorder="1" applyAlignment="1">
      <alignment horizontal="left"/>
    </xf>
    <xf numFmtId="0" fontId="11" fillId="4" borderId="18" xfId="1" applyFont="1" applyFill="1" applyBorder="1" applyAlignment="1">
      <alignment horizontal="left"/>
    </xf>
    <xf numFmtId="0" fontId="3" fillId="4" borderId="18" xfId="1" applyFont="1" applyFill="1" applyBorder="1" applyAlignment="1">
      <alignment horizontal="left"/>
    </xf>
    <xf numFmtId="0" fontId="2" fillId="4" borderId="18" xfId="1" applyFont="1" applyFill="1" applyBorder="1" applyAlignment="1">
      <alignment horizontal="left"/>
    </xf>
    <xf numFmtId="4" fontId="14" fillId="0" borderId="8" xfId="1" applyNumberFormat="1" applyFont="1" applyFill="1" applyBorder="1"/>
    <xf numFmtId="0" fontId="9" fillId="0" borderId="8" xfId="1" applyFont="1" applyFill="1" applyBorder="1" applyAlignment="1">
      <alignment horizontal="center"/>
    </xf>
    <xf numFmtId="4" fontId="6" fillId="0" borderId="8" xfId="1" applyNumberFormat="1" applyFont="1" applyFill="1" applyBorder="1" applyAlignment="1">
      <alignment horizontal="center"/>
    </xf>
    <xf numFmtId="4" fontId="5" fillId="0" borderId="19" xfId="1" applyNumberFormat="1" applyFont="1" applyFill="1" applyBorder="1"/>
    <xf numFmtId="4" fontId="5" fillId="0" borderId="20" xfId="1" applyNumberFormat="1" applyFont="1" applyFill="1" applyBorder="1"/>
    <xf numFmtId="4" fontId="8" fillId="0" borderId="20" xfId="1" applyNumberFormat="1" applyFont="1" applyFill="1" applyBorder="1"/>
    <xf numFmtId="4" fontId="6" fillId="0" borderId="21" xfId="1" applyNumberFormat="1" applyFont="1" applyFill="1" applyBorder="1"/>
    <xf numFmtId="0" fontId="31" fillId="0" borderId="9" xfId="1" applyFont="1" applyFill="1" applyBorder="1" applyAlignment="1">
      <alignment horizontal="center" vertical="center" wrapText="1"/>
    </xf>
    <xf numFmtId="0" fontId="0" fillId="0" borderId="0" xfId="0" applyFill="1"/>
    <xf numFmtId="0" fontId="0" fillId="15" borderId="0" xfId="0" applyFill="1" applyAlignment="1">
      <alignment horizontal="center"/>
    </xf>
    <xf numFmtId="0" fontId="72" fillId="0" borderId="48" xfId="0" applyFont="1" applyBorder="1"/>
    <xf numFmtId="0" fontId="72" fillId="0" borderId="48" xfId="0" applyFont="1" applyFill="1" applyBorder="1" applyAlignment="1">
      <alignment wrapText="1"/>
    </xf>
    <xf numFmtId="0" fontId="72" fillId="0" borderId="48" xfId="0" applyFont="1" applyBorder="1" applyAlignment="1">
      <alignment wrapText="1"/>
    </xf>
    <xf numFmtId="0" fontId="73" fillId="16" borderId="0" xfId="1" applyFont="1" applyFill="1" applyAlignment="1"/>
    <xf numFmtId="0" fontId="74" fillId="16" borderId="48" xfId="0" applyFont="1" applyFill="1" applyBorder="1" applyAlignment="1">
      <alignment wrapText="1"/>
    </xf>
    <xf numFmtId="176" fontId="0" fillId="0" borderId="48" xfId="0" applyNumberFormat="1" applyBorder="1"/>
    <xf numFmtId="0" fontId="0" fillId="0" borderId="48" xfId="0" applyFill="1" applyBorder="1"/>
    <xf numFmtId="0" fontId="0" fillId="0" borderId="48" xfId="0" applyBorder="1"/>
    <xf numFmtId="2" fontId="0" fillId="0" borderId="48" xfId="0" applyNumberFormat="1" applyBorder="1"/>
    <xf numFmtId="2" fontId="0" fillId="0" borderId="48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2" fontId="0" fillId="0" borderId="48" xfId="0" applyNumberFormat="1" applyFill="1" applyBorder="1"/>
    <xf numFmtId="176" fontId="0" fillId="17" borderId="48" xfId="0" applyNumberFormat="1" applyFill="1" applyBorder="1"/>
    <xf numFmtId="0" fontId="0" fillId="17" borderId="48" xfId="0" applyFill="1" applyBorder="1"/>
    <xf numFmtId="2" fontId="0" fillId="17" borderId="48" xfId="0" applyNumberFormat="1" applyFill="1" applyBorder="1"/>
    <xf numFmtId="0" fontId="75" fillId="0" borderId="48" xfId="1" applyFont="1" applyFill="1" applyBorder="1" applyAlignment="1"/>
    <xf numFmtId="0" fontId="75" fillId="17" borderId="48" xfId="1" applyFont="1" applyFill="1" applyBorder="1" applyAlignment="1"/>
    <xf numFmtId="0" fontId="75" fillId="0" borderId="48" xfId="1" applyFont="1" applyFill="1" applyBorder="1" applyAlignment="1">
      <alignment horizontal="center"/>
    </xf>
    <xf numFmtId="177" fontId="75" fillId="0" borderId="48" xfId="1" applyNumberFormat="1" applyFont="1" applyFill="1" applyBorder="1" applyAlignment="1"/>
    <xf numFmtId="0" fontId="0" fillId="17" borderId="0" xfId="0" applyFill="1"/>
    <xf numFmtId="0" fontId="76" fillId="0" borderId="48" xfId="0" applyFont="1" applyFill="1" applyBorder="1" applyAlignment="1">
      <alignment horizontal="center"/>
    </xf>
    <xf numFmtId="2" fontId="76" fillId="0" borderId="48" xfId="0" applyNumberFormat="1" applyFont="1" applyFill="1" applyBorder="1" applyAlignment="1">
      <alignment horizontal="center"/>
    </xf>
    <xf numFmtId="0" fontId="77" fillId="0" borderId="48" xfId="1" applyFont="1" applyFill="1" applyBorder="1" applyAlignment="1"/>
    <xf numFmtId="177" fontId="75" fillId="0" borderId="48" xfId="1" applyNumberFormat="1" applyFont="1" applyFill="1" applyBorder="1" applyAlignment="1">
      <alignment horizontal="center"/>
    </xf>
    <xf numFmtId="0" fontId="73" fillId="0" borderId="48" xfId="1" applyFont="1" applyFill="1" applyBorder="1" applyAlignment="1"/>
    <xf numFmtId="0" fontId="78" fillId="0" borderId="48" xfId="1" applyFont="1" applyFill="1" applyBorder="1" applyAlignment="1"/>
    <xf numFmtId="0" fontId="79" fillId="0" borderId="48" xfId="1" applyFont="1" applyFill="1" applyBorder="1" applyAlignment="1"/>
    <xf numFmtId="177" fontId="73" fillId="0" borderId="48" xfId="1" applyNumberFormat="1" applyFont="1" applyFill="1" applyBorder="1" applyAlignment="1"/>
    <xf numFmtId="0" fontId="73" fillId="0" borderId="48" xfId="1" applyFont="1" applyFill="1" applyBorder="1" applyAlignment="1">
      <alignment horizontal="center"/>
    </xf>
    <xf numFmtId="0" fontId="80" fillId="0" borderId="48" xfId="1" applyFont="1" applyFill="1" applyBorder="1" applyAlignment="1"/>
    <xf numFmtId="0" fontId="81" fillId="0" borderId="48" xfId="1" applyFont="1" applyFill="1" applyBorder="1" applyAlignment="1"/>
    <xf numFmtId="0" fontId="75" fillId="0" borderId="48" xfId="1" applyFont="1" applyFill="1" applyBorder="1" applyAlignment="1">
      <alignment wrapText="1"/>
    </xf>
    <xf numFmtId="0" fontId="82" fillId="18" borderId="48" xfId="1" applyFont="1" applyFill="1" applyBorder="1" applyAlignment="1"/>
    <xf numFmtId="177" fontId="83" fillId="0" borderId="48" xfId="1" applyNumberFormat="1" applyFont="1" applyFill="1" applyBorder="1" applyAlignment="1"/>
    <xf numFmtId="0" fontId="84" fillId="0" borderId="0" xfId="1" applyFont="1" applyFill="1" applyAlignment="1"/>
    <xf numFmtId="0" fontId="73" fillId="19" borderId="0" xfId="1" applyFont="1" applyFill="1" applyAlignment="1"/>
    <xf numFmtId="0" fontId="73" fillId="0" borderId="0" xfId="1" applyFont="1" applyFill="1" applyAlignment="1"/>
    <xf numFmtId="0" fontId="82" fillId="17" borderId="48" xfId="1" applyFont="1" applyFill="1" applyBorder="1" applyAlignment="1"/>
    <xf numFmtId="0" fontId="82" fillId="20" borderId="48" xfId="1" applyFont="1" applyFill="1" applyBorder="1" applyAlignment="1">
      <alignment wrapText="1"/>
    </xf>
    <xf numFmtId="0" fontId="84" fillId="0" borderId="48" xfId="1" applyFont="1" applyFill="1" applyBorder="1" applyAlignment="1">
      <alignment wrapText="1"/>
    </xf>
    <xf numFmtId="176" fontId="85" fillId="0" borderId="48" xfId="0" applyNumberFormat="1" applyFont="1" applyBorder="1" applyAlignment="1">
      <alignment horizontal="right"/>
    </xf>
    <xf numFmtId="0" fontId="86" fillId="0" borderId="48" xfId="0" applyFont="1" applyFill="1" applyBorder="1"/>
    <xf numFmtId="0" fontId="84" fillId="0" borderId="48" xfId="1" applyFont="1" applyFill="1" applyBorder="1" applyAlignment="1"/>
    <xf numFmtId="178" fontId="84" fillId="0" borderId="0" xfId="1" applyNumberFormat="1" applyFont="1" applyFill="1" applyAlignment="1"/>
    <xf numFmtId="0" fontId="84" fillId="15" borderId="48" xfId="1" applyFont="1" applyFill="1" applyBorder="1" applyAlignment="1"/>
    <xf numFmtId="178" fontId="84" fillId="0" borderId="48" xfId="1" applyNumberFormat="1" applyFont="1" applyFill="1" applyBorder="1" applyAlignment="1"/>
    <xf numFmtId="0" fontId="87" fillId="0" borderId="48" xfId="1" applyFont="1" applyFill="1" applyBorder="1" applyAlignment="1"/>
    <xf numFmtId="2" fontId="85" fillId="0" borderId="48" xfId="0" applyNumberFormat="1" applyFont="1" applyFill="1" applyBorder="1" applyAlignment="1">
      <alignment horizontal="right"/>
    </xf>
    <xf numFmtId="0" fontId="86" fillId="17" borderId="48" xfId="0" applyFont="1" applyFill="1" applyBorder="1"/>
    <xf numFmtId="178" fontId="84" fillId="17" borderId="48" xfId="1" applyNumberFormat="1" applyFont="1" applyFill="1" applyBorder="1" applyAlignment="1"/>
    <xf numFmtId="0" fontId="84" fillId="0" borderId="0" xfId="1" applyFont="1" applyFill="1" applyAlignment="1">
      <alignment horizontal="left"/>
    </xf>
    <xf numFmtId="0" fontId="88" fillId="0" borderId="48" xfId="1" applyFont="1" applyFill="1" applyBorder="1" applyAlignment="1"/>
    <xf numFmtId="0" fontId="84" fillId="0" borderId="0" xfId="1" applyFont="1" applyFill="1" applyAlignment="1">
      <alignment horizontal="center"/>
    </xf>
    <xf numFmtId="0" fontId="82" fillId="0" borderId="48" xfId="1" applyFont="1" applyFill="1" applyBorder="1" applyAlignment="1">
      <alignment wrapText="1"/>
    </xf>
    <xf numFmtId="0" fontId="83" fillId="19" borderId="0" xfId="1" applyFont="1" applyFill="1" applyAlignment="1"/>
    <xf numFmtId="0" fontId="72" fillId="21" borderId="48" xfId="0" applyFont="1" applyFill="1" applyBorder="1" applyAlignment="1">
      <alignment wrapText="1"/>
    </xf>
    <xf numFmtId="0" fontId="72" fillId="21" borderId="48" xfId="0" applyFont="1" applyFill="1" applyBorder="1"/>
    <xf numFmtId="0" fontId="89" fillId="21" borderId="48" xfId="0" applyFont="1" applyFill="1" applyBorder="1" applyAlignment="1">
      <alignment wrapText="1"/>
    </xf>
    <xf numFmtId="177" fontId="84" fillId="0" borderId="48" xfId="1" applyNumberFormat="1" applyFont="1" applyFill="1" applyBorder="1" applyAlignment="1"/>
    <xf numFmtId="0" fontId="84" fillId="17" borderId="48" xfId="1" applyFont="1" applyFill="1" applyBorder="1" applyAlignment="1"/>
    <xf numFmtId="0" fontId="30" fillId="17" borderId="49" xfId="0" applyFont="1" applyFill="1" applyBorder="1"/>
    <xf numFmtId="0" fontId="74" fillId="0" borderId="0" xfId="0" applyFont="1"/>
    <xf numFmtId="0" fontId="74" fillId="0" borderId="48" xfId="0" applyFont="1" applyBorder="1"/>
    <xf numFmtId="2" fontId="74" fillId="21" borderId="48" xfId="0" applyNumberFormat="1" applyFont="1" applyFill="1" applyBorder="1"/>
    <xf numFmtId="0" fontId="73" fillId="17" borderId="48" xfId="1" applyFont="1" applyFill="1" applyBorder="1" applyAlignment="1"/>
    <xf numFmtId="0" fontId="0" fillId="0" borderId="0" xfId="0" applyFont="1"/>
    <xf numFmtId="0" fontId="2" fillId="22" borderId="22" xfId="1" applyFont="1" applyFill="1" applyBorder="1" applyAlignment="1">
      <alignment horizontal="left" wrapText="1"/>
    </xf>
    <xf numFmtId="4" fontId="5" fillId="22" borderId="23" xfId="1" applyNumberFormat="1" applyFont="1" applyFill="1" applyBorder="1"/>
    <xf numFmtId="4" fontId="6" fillId="22" borderId="23" xfId="1" applyNumberFormat="1" applyFont="1" applyFill="1" applyBorder="1"/>
    <xf numFmtId="0" fontId="32" fillId="0" borderId="0" xfId="1" applyFont="1" applyFill="1" applyBorder="1" applyAlignment="1">
      <alignment horizontal="right"/>
    </xf>
    <xf numFmtId="4" fontId="32" fillId="0" borderId="0" xfId="1" applyNumberFormat="1" applyFont="1" applyFill="1" applyBorder="1"/>
    <xf numFmtId="0" fontId="31" fillId="0" borderId="0" xfId="1" applyFont="1" applyFill="1"/>
    <xf numFmtId="0" fontId="33" fillId="0" borderId="0" xfId="1" applyFont="1" applyFill="1"/>
    <xf numFmtId="4" fontId="34" fillId="0" borderId="0" xfId="1" applyNumberFormat="1" applyFont="1" applyFill="1"/>
    <xf numFmtId="2" fontId="82" fillId="0" borderId="48" xfId="1" applyNumberFormat="1" applyFont="1" applyFill="1" applyBorder="1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35" fillId="23" borderId="9" xfId="0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9" fillId="0" borderId="9" xfId="1" applyFont="1" applyFill="1" applyBorder="1" applyAlignment="1">
      <alignment horizontal="left" wrapText="1"/>
    </xf>
    <xf numFmtId="0" fontId="0" fillId="0" borderId="9" xfId="1" applyFont="1" applyFill="1" applyBorder="1" applyAlignment="1">
      <alignment horizontal="left" wrapText="1"/>
    </xf>
    <xf numFmtId="2" fontId="36" fillId="0" borderId="9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173" fontId="1" fillId="0" borderId="9" xfId="0" applyNumberFormat="1" applyFont="1" applyBorder="1" applyAlignment="1">
      <alignment horizontal="left" wrapText="1"/>
    </xf>
    <xf numFmtId="0" fontId="38" fillId="0" borderId="9" xfId="1" applyFont="1" applyFill="1" applyBorder="1" applyAlignment="1">
      <alignment horizontal="left" wrapText="1"/>
    </xf>
    <xf numFmtId="177" fontId="83" fillId="19" borderId="0" xfId="1" applyNumberFormat="1" applyFont="1" applyFill="1" applyAlignment="1"/>
    <xf numFmtId="0" fontId="39" fillId="0" borderId="0" xfId="0" applyFont="1"/>
    <xf numFmtId="0" fontId="40" fillId="0" borderId="0" xfId="1" applyFont="1" applyFill="1"/>
    <xf numFmtId="0" fontId="90" fillId="0" borderId="9" xfId="1" applyFont="1" applyFill="1" applyBorder="1"/>
    <xf numFmtId="2" fontId="9" fillId="0" borderId="9" xfId="1" applyNumberFormat="1" applyFont="1" applyFill="1" applyBorder="1" applyAlignment="1">
      <alignment horizontal="right"/>
    </xf>
    <xf numFmtId="4" fontId="91" fillId="0" borderId="0" xfId="1" applyNumberFormat="1" applyFont="1" applyFill="1"/>
    <xf numFmtId="4" fontId="6" fillId="21" borderId="9" xfId="1" applyNumberFormat="1" applyFont="1" applyFill="1" applyBorder="1"/>
    <xf numFmtId="0" fontId="89" fillId="21" borderId="48" xfId="0" applyFont="1" applyFill="1" applyBorder="1"/>
    <xf numFmtId="0" fontId="84" fillId="0" borderId="50" xfId="1" applyFont="1" applyFill="1" applyBorder="1" applyAlignment="1"/>
    <xf numFmtId="2" fontId="73" fillId="0" borderId="48" xfId="1" applyNumberFormat="1" applyFont="1" applyFill="1" applyBorder="1" applyAlignment="1"/>
    <xf numFmtId="0" fontId="84" fillId="0" borderId="50" xfId="1" applyFont="1" applyFill="1" applyBorder="1" applyAlignment="1">
      <alignment wrapText="1"/>
    </xf>
    <xf numFmtId="0" fontId="88" fillId="0" borderId="50" xfId="1" applyFont="1" applyFill="1" applyBorder="1" applyAlignment="1"/>
    <xf numFmtId="0" fontId="84" fillId="0" borderId="24" xfId="1" applyFont="1" applyFill="1" applyBorder="1" applyAlignment="1"/>
    <xf numFmtId="0" fontId="84" fillId="0" borderId="24" xfId="1" applyFont="1" applyFill="1" applyBorder="1" applyAlignment="1">
      <alignment horizontal="left"/>
    </xf>
    <xf numFmtId="0" fontId="84" fillId="0" borderId="24" xfId="1" applyFont="1" applyFill="1" applyBorder="1" applyAlignment="1">
      <alignment horizontal="center"/>
    </xf>
    <xf numFmtId="177" fontId="83" fillId="19" borderId="24" xfId="1" applyNumberFormat="1" applyFont="1" applyFill="1" applyBorder="1" applyAlignment="1"/>
    <xf numFmtId="0" fontId="84" fillId="24" borderId="50" xfId="1" applyFont="1" applyFill="1" applyBorder="1" applyAlignment="1"/>
    <xf numFmtId="0" fontId="86" fillId="25" borderId="50" xfId="0" applyFont="1" applyFill="1" applyBorder="1"/>
    <xf numFmtId="0" fontId="87" fillId="24" borderId="50" xfId="1" applyFont="1" applyFill="1" applyBorder="1" applyAlignment="1"/>
    <xf numFmtId="4" fontId="38" fillId="0" borderId="0" xfId="1" applyNumberFormat="1" applyFont="1" applyFill="1"/>
    <xf numFmtId="0" fontId="2" fillId="0" borderId="16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4" fontId="41" fillId="0" borderId="0" xfId="1" applyNumberFormat="1" applyFont="1" applyFill="1"/>
    <xf numFmtId="0" fontId="41" fillId="0" borderId="0" xfId="1" applyFont="1" applyFill="1"/>
    <xf numFmtId="2" fontId="84" fillId="0" borderId="48" xfId="1" applyNumberFormat="1" applyFont="1" applyFill="1" applyBorder="1" applyAlignment="1">
      <alignment horizontal="right" wrapText="1"/>
    </xf>
    <xf numFmtId="4" fontId="92" fillId="0" borderId="9" xfId="1" applyNumberFormat="1" applyFont="1" applyFill="1" applyBorder="1"/>
    <xf numFmtId="4" fontId="9" fillId="26" borderId="9" xfId="1" applyNumberFormat="1" applyFont="1" applyFill="1" applyBorder="1"/>
    <xf numFmtId="4" fontId="9" fillId="24" borderId="9" xfId="1" applyNumberFormat="1" applyFont="1" applyFill="1" applyBorder="1"/>
    <xf numFmtId="4" fontId="6" fillId="24" borderId="9" xfId="1" applyNumberFormat="1" applyFont="1" applyFill="1" applyBorder="1"/>
    <xf numFmtId="4" fontId="9" fillId="27" borderId="9" xfId="1" applyNumberFormat="1" applyFont="1" applyFill="1" applyBorder="1"/>
    <xf numFmtId="4" fontId="14" fillId="24" borderId="9" xfId="1" applyNumberFormat="1" applyFont="1" applyFill="1" applyBorder="1"/>
    <xf numFmtId="4" fontId="1" fillId="24" borderId="0" xfId="1" applyNumberFormat="1" applyFont="1" applyFill="1"/>
    <xf numFmtId="4" fontId="9" fillId="24" borderId="2" xfId="1" applyNumberFormat="1" applyFont="1" applyFill="1" applyBorder="1"/>
    <xf numFmtId="4" fontId="13" fillId="0" borderId="20" xfId="1" applyNumberFormat="1" applyFont="1" applyFill="1" applyBorder="1"/>
    <xf numFmtId="4" fontId="14" fillId="0" borderId="21" xfId="1" applyNumberFormat="1" applyFont="1" applyFill="1" applyBorder="1"/>
    <xf numFmtId="0" fontId="42" fillId="0" borderId="0" xfId="1" applyFont="1" applyFill="1"/>
    <xf numFmtId="0" fontId="3" fillId="0" borderId="0" xfId="1" applyFont="1" applyFill="1" applyAlignment="1"/>
    <xf numFmtId="0" fontId="42" fillId="0" borderId="1" xfId="1" applyFont="1" applyFill="1" applyBorder="1"/>
    <xf numFmtId="0" fontId="42" fillId="0" borderId="0" xfId="1" applyFont="1" applyFill="1" applyBorder="1"/>
    <xf numFmtId="14" fontId="3" fillId="0" borderId="0" xfId="1" applyNumberFormat="1" applyFont="1" applyFill="1"/>
    <xf numFmtId="0" fontId="3" fillId="0" borderId="2" xfId="1" applyFont="1" applyFill="1" applyBorder="1" applyAlignment="1">
      <alignment horizontal="center" vertical="center"/>
    </xf>
    <xf numFmtId="4" fontId="25" fillId="0" borderId="7" xfId="1" applyNumberFormat="1" applyFont="1" applyFill="1" applyBorder="1"/>
    <xf numFmtId="4" fontId="43" fillId="0" borderId="2" xfId="1" applyNumberFormat="1" applyFont="1" applyFill="1" applyBorder="1"/>
    <xf numFmtId="4" fontId="43" fillId="0" borderId="9" xfId="1" applyNumberFormat="1" applyFont="1" applyFill="1" applyBorder="1"/>
    <xf numFmtId="4" fontId="25" fillId="0" borderId="24" xfId="1" applyNumberFormat="1" applyFont="1" applyFill="1" applyBorder="1"/>
    <xf numFmtId="4" fontId="25" fillId="0" borderId="26" xfId="1" applyNumberFormat="1" applyFont="1" applyFill="1" applyBorder="1"/>
    <xf numFmtId="4" fontId="25" fillId="0" borderId="8" xfId="1" applyNumberFormat="1" applyFont="1" applyFill="1" applyBorder="1"/>
    <xf numFmtId="4" fontId="25" fillId="0" borderId="9" xfId="1" applyNumberFormat="1" applyFont="1" applyFill="1" applyBorder="1"/>
    <xf numFmtId="4" fontId="25" fillId="22" borderId="23" xfId="1" applyNumberFormat="1" applyFont="1" applyFill="1" applyBorder="1"/>
    <xf numFmtId="0" fontId="3" fillId="4" borderId="12" xfId="1" applyFont="1" applyFill="1" applyBorder="1" applyAlignment="1">
      <alignment horizontal="left"/>
    </xf>
    <xf numFmtId="4" fontId="43" fillId="26" borderId="9" xfId="1" applyNumberFormat="1" applyFont="1" applyFill="1" applyBorder="1"/>
    <xf numFmtId="4" fontId="43" fillId="24" borderId="9" xfId="1" applyNumberFormat="1" applyFont="1" applyFill="1" applyBorder="1"/>
    <xf numFmtId="4" fontId="25" fillId="24" borderId="9" xfId="1" applyNumberFormat="1" applyFont="1" applyFill="1" applyBorder="1" applyAlignment="1">
      <alignment vertical="center"/>
    </xf>
    <xf numFmtId="4" fontId="25" fillId="24" borderId="9" xfId="1" applyNumberFormat="1" applyFont="1" applyFill="1" applyBorder="1"/>
    <xf numFmtId="4" fontId="43" fillId="27" borderId="9" xfId="1" applyNumberFormat="1" applyFont="1" applyFill="1" applyBorder="1"/>
    <xf numFmtId="4" fontId="43" fillId="24" borderId="2" xfId="1" applyNumberFormat="1" applyFont="1" applyFill="1" applyBorder="1"/>
    <xf numFmtId="4" fontId="25" fillId="0" borderId="2" xfId="1" applyNumberFormat="1" applyFont="1" applyFill="1" applyBorder="1"/>
    <xf numFmtId="4" fontId="44" fillId="0" borderId="24" xfId="1" applyNumberFormat="1" applyFont="1" applyFill="1" applyBorder="1"/>
    <xf numFmtId="4" fontId="25" fillId="0" borderId="27" xfId="1" applyNumberFormat="1" applyFont="1" applyFill="1" applyBorder="1"/>
    <xf numFmtId="4" fontId="25" fillId="0" borderId="21" xfId="1" applyNumberFormat="1" applyFont="1" applyFill="1" applyBorder="1"/>
    <xf numFmtId="4" fontId="43" fillId="0" borderId="24" xfId="1" applyNumberFormat="1" applyFont="1" applyFill="1" applyBorder="1"/>
    <xf numFmtId="4" fontId="43" fillId="0" borderId="21" xfId="1" applyNumberFormat="1" applyFont="1" applyFill="1" applyBorder="1"/>
    <xf numFmtId="4" fontId="43" fillId="3" borderId="9" xfId="1" applyNumberFormat="1" applyFont="1" applyFill="1" applyBorder="1"/>
    <xf numFmtId="4" fontId="25" fillId="14" borderId="16" xfId="1" applyNumberFormat="1" applyFont="1" applyFill="1" applyBorder="1" applyAlignment="1">
      <alignment horizontal="center"/>
    </xf>
    <xf numFmtId="4" fontId="44" fillId="0" borderId="9" xfId="1" applyNumberFormat="1" applyFont="1" applyFill="1" applyBorder="1"/>
    <xf numFmtId="2" fontId="43" fillId="0" borderId="9" xfId="1" applyNumberFormat="1" applyFont="1" applyFill="1" applyBorder="1" applyAlignment="1">
      <alignment horizontal="center"/>
    </xf>
    <xf numFmtId="0" fontId="43" fillId="0" borderId="9" xfId="1" applyFont="1" applyFill="1" applyBorder="1" applyAlignment="1">
      <alignment horizontal="center"/>
    </xf>
    <xf numFmtId="2" fontId="43" fillId="0" borderId="9" xfId="1" applyNumberFormat="1" applyFont="1" applyFill="1" applyBorder="1"/>
    <xf numFmtId="4" fontId="25" fillId="3" borderId="9" xfId="1" applyNumberFormat="1" applyFont="1" applyFill="1" applyBorder="1"/>
    <xf numFmtId="0" fontId="43" fillId="0" borderId="9" xfId="1" applyFont="1" applyFill="1" applyBorder="1"/>
    <xf numFmtId="0" fontId="25" fillId="0" borderId="9" xfId="1" applyFont="1" applyFill="1" applyBorder="1"/>
    <xf numFmtId="4" fontId="43" fillId="0" borderId="9" xfId="1" applyNumberFormat="1" applyFont="1" applyFill="1" applyBorder="1" applyAlignment="1">
      <alignment horizontal="right"/>
    </xf>
    <xf numFmtId="4" fontId="25" fillId="14" borderId="14" xfId="1" applyNumberFormat="1" applyFont="1" applyFill="1" applyBorder="1"/>
    <xf numFmtId="0" fontId="3" fillId="4" borderId="8" xfId="1" applyFont="1" applyFill="1" applyBorder="1" applyAlignment="1">
      <alignment horizontal="left"/>
    </xf>
    <xf numFmtId="4" fontId="42" fillId="6" borderId="9" xfId="1" applyNumberFormat="1" applyFont="1" applyFill="1" applyBorder="1" applyAlignment="1"/>
    <xf numFmtId="4" fontId="42" fillId="6" borderId="9" xfId="1" applyNumberFormat="1" applyFont="1" applyFill="1" applyBorder="1"/>
    <xf numFmtId="4" fontId="3" fillId="6" borderId="9" xfId="1" applyNumberFormat="1" applyFont="1" applyFill="1" applyBorder="1"/>
    <xf numFmtId="4" fontId="3" fillId="7" borderId="9" xfId="1" applyNumberFormat="1" applyFont="1" applyFill="1" applyBorder="1"/>
    <xf numFmtId="4" fontId="45" fillId="0" borderId="0" xfId="1" applyNumberFormat="1" applyFont="1" applyFill="1" applyBorder="1"/>
    <xf numFmtId="0" fontId="3" fillId="0" borderId="9" xfId="1" applyFont="1" applyFill="1" applyBorder="1" applyAlignment="1">
      <alignment horizontal="left"/>
    </xf>
    <xf numFmtId="4" fontId="43" fillId="0" borderId="0" xfId="1" applyNumberFormat="1" applyFont="1" applyFill="1" applyBorder="1"/>
    <xf numFmtId="4" fontId="46" fillId="0" borderId="0" xfId="1" applyNumberFormat="1" applyFont="1" applyFill="1" applyBorder="1"/>
    <xf numFmtId="4" fontId="47" fillId="0" borderId="0" xfId="1" applyNumberFormat="1" applyFont="1" applyFill="1" applyBorder="1"/>
    <xf numFmtId="4" fontId="48" fillId="0" borderId="0" xfId="1" applyNumberFormat="1" applyFont="1" applyFill="1" applyBorder="1"/>
    <xf numFmtId="4" fontId="47" fillId="0" borderId="0" xfId="1" applyNumberFormat="1" applyFont="1" applyFill="1"/>
    <xf numFmtId="4" fontId="3" fillId="0" borderId="0" xfId="1" applyNumberFormat="1" applyFont="1" applyFill="1" applyBorder="1" applyAlignment="1"/>
    <xf numFmtId="4" fontId="3" fillId="0" borderId="0" xfId="1" applyNumberFormat="1" applyFont="1" applyFill="1" applyBorder="1" applyAlignment="1">
      <alignment horizontal="left"/>
    </xf>
    <xf numFmtId="0" fontId="42" fillId="0" borderId="0" xfId="1" applyFont="1" applyFill="1" applyBorder="1" applyAlignment="1"/>
    <xf numFmtId="0" fontId="3" fillId="0" borderId="0" xfId="1" applyFont="1" applyFill="1" applyBorder="1" applyAlignment="1"/>
    <xf numFmtId="0" fontId="49" fillId="0" borderId="9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4" fontId="42" fillId="0" borderId="0" xfId="1" applyNumberFormat="1" applyFont="1" applyFill="1" applyBorder="1"/>
    <xf numFmtId="4" fontId="42" fillId="0" borderId="0" xfId="1" applyNumberFormat="1" applyFont="1" applyFill="1"/>
    <xf numFmtId="4" fontId="50" fillId="0" borderId="9" xfId="1" applyNumberFormat="1" applyFont="1" applyFill="1" applyBorder="1"/>
    <xf numFmtId="0" fontId="51" fillId="0" borderId="0" xfId="0" applyFont="1"/>
    <xf numFmtId="4" fontId="21" fillId="0" borderId="0" xfId="1" applyNumberFormat="1" applyFont="1" applyFill="1" applyBorder="1" applyAlignment="1">
      <alignment horizontal="right" wrapText="1"/>
    </xf>
    <xf numFmtId="4" fontId="40" fillId="0" borderId="0" xfId="1" applyNumberFormat="1" applyFont="1" applyFill="1" applyBorder="1" applyAlignment="1"/>
    <xf numFmtId="0" fontId="40" fillId="0" borderId="0" xfId="1" applyFont="1" applyFill="1" applyBorder="1" applyAlignment="1"/>
    <xf numFmtId="4" fontId="21" fillId="0" borderId="0" xfId="1" applyNumberFormat="1" applyFont="1" applyFill="1" applyBorder="1" applyAlignment="1">
      <alignment wrapText="1"/>
    </xf>
    <xf numFmtId="4" fontId="50" fillId="21" borderId="9" xfId="1" applyNumberFormat="1" applyFont="1" applyFill="1" applyBorder="1"/>
    <xf numFmtId="0" fontId="40" fillId="0" borderId="1" xfId="1" applyFont="1" applyFill="1" applyBorder="1"/>
    <xf numFmtId="14" fontId="21" fillId="0" borderId="0" xfId="1" applyNumberFormat="1" applyFont="1" applyFill="1"/>
    <xf numFmtId="0" fontId="21" fillId="0" borderId="2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left"/>
    </xf>
    <xf numFmtId="4" fontId="6" fillId="0" borderId="7" xfId="1" applyNumberFormat="1" applyFont="1" applyFill="1" applyBorder="1"/>
    <xf numFmtId="0" fontId="21" fillId="4" borderId="12" xfId="1" applyFont="1" applyFill="1" applyBorder="1" applyAlignment="1">
      <alignment horizontal="left"/>
    </xf>
    <xf numFmtId="4" fontId="6" fillId="24" borderId="9" xfId="1" applyNumberFormat="1" applyFont="1" applyFill="1" applyBorder="1" applyAlignment="1">
      <alignment vertical="center"/>
    </xf>
    <xf numFmtId="0" fontId="21" fillId="4" borderId="4" xfId="1" applyFont="1" applyFill="1" applyBorder="1" applyAlignment="1">
      <alignment horizontal="left"/>
    </xf>
    <xf numFmtId="4" fontId="6" fillId="0" borderId="2" xfId="1" applyNumberFormat="1" applyFont="1" applyFill="1" applyBorder="1"/>
    <xf numFmtId="4" fontId="6" fillId="0" borderId="24" xfId="1" applyNumberFormat="1" applyFont="1" applyFill="1" applyBorder="1"/>
    <xf numFmtId="4" fontId="14" fillId="0" borderId="24" xfId="1" applyNumberFormat="1" applyFont="1" applyFill="1" applyBorder="1"/>
    <xf numFmtId="4" fontId="9" fillId="3" borderId="9" xfId="1" applyNumberFormat="1" applyFont="1" applyFill="1" applyBorder="1"/>
    <xf numFmtId="0" fontId="6" fillId="0" borderId="9" xfId="1" applyFont="1" applyFill="1" applyBorder="1"/>
    <xf numFmtId="0" fontId="21" fillId="4" borderId="8" xfId="1" applyFont="1" applyFill="1" applyBorder="1" applyAlignment="1">
      <alignment horizontal="left"/>
    </xf>
    <xf numFmtId="4" fontId="40" fillId="6" borderId="9" xfId="1" applyNumberFormat="1" applyFont="1" applyFill="1" applyBorder="1" applyAlignment="1"/>
    <xf numFmtId="4" fontId="40" fillId="6" borderId="9" xfId="1" applyNumberFormat="1" applyFont="1" applyFill="1" applyBorder="1"/>
    <xf numFmtId="4" fontId="21" fillId="6" borderId="9" xfId="1" applyNumberFormat="1" applyFont="1" applyFill="1" applyBorder="1"/>
    <xf numFmtId="4" fontId="21" fillId="7" borderId="9" xfId="1" applyNumberFormat="1" applyFont="1" applyFill="1" applyBorder="1"/>
    <xf numFmtId="4" fontId="52" fillId="0" borderId="0" xfId="1" applyNumberFormat="1" applyFont="1" applyFill="1" applyBorder="1"/>
    <xf numFmtId="4" fontId="53" fillId="0" borderId="0" xfId="1" applyNumberFormat="1" applyFont="1" applyFill="1" applyBorder="1"/>
    <xf numFmtId="4" fontId="54" fillId="0" borderId="0" xfId="1" applyNumberFormat="1" applyFont="1" applyFill="1" applyBorder="1"/>
    <xf numFmtId="4" fontId="54" fillId="0" borderId="0" xfId="1" applyNumberFormat="1" applyFont="1" applyFill="1"/>
    <xf numFmtId="4" fontId="21" fillId="0" borderId="0" xfId="1" applyNumberFormat="1" applyFont="1" applyFill="1" applyBorder="1" applyAlignment="1"/>
    <xf numFmtId="0" fontId="21" fillId="0" borderId="0" xfId="1" applyFont="1" applyFill="1" applyBorder="1" applyAlignment="1"/>
    <xf numFmtId="0" fontId="55" fillId="0" borderId="9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0" xfId="1" applyFont="1" applyFill="1" applyBorder="1"/>
    <xf numFmtId="4" fontId="40" fillId="0" borderId="0" xfId="1" applyNumberFormat="1" applyFont="1" applyFill="1" applyBorder="1"/>
    <xf numFmtId="4" fontId="40" fillId="0" borderId="0" xfId="1" applyNumberFormat="1" applyFont="1" applyFill="1"/>
    <xf numFmtId="4" fontId="56" fillId="0" borderId="9" xfId="1" applyNumberFormat="1" applyFont="1" applyFill="1" applyBorder="1"/>
    <xf numFmtId="0" fontId="21" fillId="0" borderId="0" xfId="1" applyFont="1" applyFill="1" applyAlignment="1"/>
    <xf numFmtId="0" fontId="21" fillId="2" borderId="18" xfId="1" applyFont="1" applyFill="1" applyBorder="1" applyAlignment="1">
      <alignment horizontal="left"/>
    </xf>
    <xf numFmtId="0" fontId="21" fillId="4" borderId="18" xfId="1" applyFont="1" applyFill="1" applyBorder="1" applyAlignment="1">
      <alignment horizontal="left"/>
    </xf>
    <xf numFmtId="4" fontId="57" fillId="0" borderId="0" xfId="1" applyNumberFormat="1" applyFont="1" applyFill="1" applyBorder="1"/>
    <xf numFmtId="4" fontId="6" fillId="0" borderId="9" xfId="1" applyNumberFormat="1" applyFont="1" applyFill="1" applyBorder="1" applyAlignment="1">
      <alignment horizontal="right"/>
    </xf>
    <xf numFmtId="0" fontId="85" fillId="0" borderId="48" xfId="0" applyFont="1" applyFill="1" applyBorder="1"/>
    <xf numFmtId="0" fontId="9" fillId="0" borderId="9" xfId="1" applyFont="1" applyFill="1" applyBorder="1" applyAlignment="1">
      <alignment horizontal="right"/>
    </xf>
    <xf numFmtId="0" fontId="43" fillId="0" borderId="9" xfId="1" applyFont="1" applyFill="1" applyBorder="1" applyAlignment="1">
      <alignment horizontal="right"/>
    </xf>
    <xf numFmtId="4" fontId="43" fillId="0" borderId="24" xfId="1" applyNumberFormat="1" applyFont="1" applyFill="1" applyBorder="1" applyAlignment="1">
      <alignment horizontal="right"/>
    </xf>
    <xf numFmtId="2" fontId="43" fillId="0" borderId="9" xfId="1" applyNumberFormat="1" applyFont="1" applyFill="1" applyBorder="1" applyAlignment="1">
      <alignment horizontal="right"/>
    </xf>
    <xf numFmtId="4" fontId="6" fillId="0" borderId="8" xfId="1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0" xfId="0" applyNumberFormat="1" applyBorder="1" applyAlignment="1"/>
    <xf numFmtId="2" fontId="0" fillId="0" borderId="48" xfId="0" applyNumberFormat="1" applyBorder="1" applyAlignment="1"/>
    <xf numFmtId="2" fontId="9" fillId="0" borderId="9" xfId="0" applyNumberFormat="1" applyFont="1" applyBorder="1" applyAlignment="1">
      <alignment horizontal="right"/>
    </xf>
    <xf numFmtId="2" fontId="37" fillId="0" borderId="9" xfId="0" applyNumberFormat="1" applyFont="1" applyBorder="1" applyAlignment="1"/>
    <xf numFmtId="2" fontId="9" fillId="0" borderId="9" xfId="1" applyNumberFormat="1" applyFont="1" applyFill="1" applyBorder="1" applyAlignment="1">
      <alignment horizontal="right" wrapText="1"/>
    </xf>
    <xf numFmtId="4" fontId="25" fillId="0" borderId="9" xfId="1" applyNumberFormat="1" applyFont="1" applyFill="1" applyBorder="1" applyAlignment="1">
      <alignment horizontal="center"/>
    </xf>
    <xf numFmtId="4" fontId="91" fillId="24" borderId="0" xfId="1" applyNumberFormat="1" applyFont="1" applyFill="1"/>
    <xf numFmtId="4" fontId="3" fillId="0" borderId="0" xfId="1" applyNumberFormat="1" applyFont="1" applyFill="1" applyBorder="1" applyAlignment="1">
      <alignment horizontal="left" wrapText="1"/>
    </xf>
    <xf numFmtId="4" fontId="25" fillId="0" borderId="8" xfId="1" applyNumberFormat="1" applyFont="1" applyFill="1" applyBorder="1" applyAlignment="1">
      <alignment horizontal="center"/>
    </xf>
    <xf numFmtId="0" fontId="40" fillId="0" borderId="9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right"/>
    </xf>
    <xf numFmtId="0" fontId="25" fillId="0" borderId="9" xfId="1" applyFont="1" applyFill="1" applyBorder="1" applyAlignment="1">
      <alignment horizontal="center"/>
    </xf>
    <xf numFmtId="4" fontId="44" fillId="24" borderId="9" xfId="1" applyNumberFormat="1" applyFont="1" applyFill="1" applyBorder="1"/>
    <xf numFmtId="0" fontId="43" fillId="24" borderId="9" xfId="1" applyFont="1" applyFill="1" applyBorder="1" applyAlignment="1">
      <alignment horizontal="center"/>
    </xf>
    <xf numFmtId="0" fontId="43" fillId="24" borderId="9" xfId="1" applyFont="1" applyFill="1" applyBorder="1" applyAlignment="1">
      <alignment horizontal="right"/>
    </xf>
    <xf numFmtId="0" fontId="73" fillId="28" borderId="0" xfId="1" applyFont="1" applyFill="1" applyAlignment="1"/>
    <xf numFmtId="4" fontId="25" fillId="29" borderId="9" xfId="1" applyNumberFormat="1" applyFont="1" applyFill="1" applyBorder="1"/>
    <xf numFmtId="4" fontId="44" fillId="0" borderId="8" xfId="1" applyNumberFormat="1" applyFont="1" applyFill="1" applyBorder="1"/>
    <xf numFmtId="4" fontId="25" fillId="0" borderId="8" xfId="1" applyNumberFormat="1" applyFont="1" applyFill="1" applyBorder="1" applyAlignment="1">
      <alignment horizontal="right"/>
    </xf>
    <xf numFmtId="0" fontId="21" fillId="0" borderId="9" xfId="1" applyFont="1" applyFill="1" applyBorder="1" applyAlignment="1">
      <alignment horizontal="center" vertical="center" wrapText="1"/>
    </xf>
    <xf numFmtId="0" fontId="93" fillId="0" borderId="48" xfId="1" applyFont="1" applyFill="1" applyBorder="1" applyAlignment="1"/>
    <xf numFmtId="0" fontId="55" fillId="0" borderId="0" xfId="1" applyFont="1" applyFill="1"/>
    <xf numFmtId="4" fontId="1" fillId="0" borderId="0" xfId="1" applyNumberFormat="1" applyFill="1" applyAlignment="1">
      <alignment horizontal="left"/>
    </xf>
    <xf numFmtId="4" fontId="6" fillId="0" borderId="7" xfId="1" applyNumberFormat="1" applyFont="1" applyFill="1" applyBorder="1" applyAlignment="1">
      <alignment horizontal="right"/>
    </xf>
    <xf numFmtId="0" fontId="94" fillId="0" borderId="48" xfId="1" applyFont="1" applyFill="1" applyBorder="1" applyAlignment="1"/>
    <xf numFmtId="0" fontId="43" fillId="0" borderId="9" xfId="1" applyFont="1" applyFill="1" applyBorder="1" applyAlignment="1"/>
    <xf numFmtId="4" fontId="25" fillId="0" borderId="9" xfId="1" applyNumberFormat="1" applyFont="1" applyFill="1" applyBorder="1" applyAlignment="1">
      <alignment horizontal="right"/>
    </xf>
    <xf numFmtId="4" fontId="25" fillId="24" borderId="8" xfId="1" applyNumberFormat="1" applyFont="1" applyFill="1" applyBorder="1"/>
    <xf numFmtId="0" fontId="95" fillId="0" borderId="48" xfId="1" applyFont="1" applyFill="1" applyBorder="1" applyAlignment="1"/>
    <xf numFmtId="0" fontId="96" fillId="17" borderId="48" xfId="1" applyFont="1" applyFill="1" applyBorder="1" applyAlignment="1"/>
    <xf numFmtId="4" fontId="58" fillId="0" borderId="9" xfId="1" applyNumberFormat="1" applyFont="1" applyFill="1" applyBorder="1" applyAlignment="1">
      <alignment horizontal="right" vertical="center" wrapText="1"/>
    </xf>
    <xf numFmtId="2" fontId="6" fillId="0" borderId="9" xfId="1" applyNumberFormat="1" applyFont="1" applyFill="1" applyBorder="1" applyAlignment="1">
      <alignment horizontal="right"/>
    </xf>
    <xf numFmtId="4" fontId="43" fillId="0" borderId="14" xfId="1" applyNumberFormat="1" applyFont="1" applyFill="1" applyBorder="1"/>
    <xf numFmtId="4" fontId="43" fillId="0" borderId="16" xfId="1" applyNumberFormat="1" applyFont="1" applyFill="1" applyBorder="1"/>
    <xf numFmtId="0" fontId="59" fillId="0" borderId="8" xfId="1" applyFont="1" applyFill="1" applyBorder="1" applyAlignment="1">
      <alignment horizontal="left"/>
    </xf>
    <xf numFmtId="4" fontId="43" fillId="0" borderId="8" xfId="1" applyNumberFormat="1" applyFont="1" applyFill="1" applyBorder="1"/>
    <xf numFmtId="0" fontId="72" fillId="21" borderId="51" xfId="0" applyFont="1" applyFill="1" applyBorder="1" applyAlignment="1">
      <alignment wrapText="1"/>
    </xf>
    <xf numFmtId="0" fontId="72" fillId="0" borderId="52" xfId="0" applyFont="1" applyBorder="1" applyAlignment="1">
      <alignment wrapText="1"/>
    </xf>
    <xf numFmtId="0" fontId="0" fillId="0" borderId="53" xfId="0" applyFill="1" applyBorder="1"/>
    <xf numFmtId="0" fontId="73" fillId="16" borderId="24" xfId="1" applyFont="1" applyFill="1" applyBorder="1" applyAlignment="1"/>
    <xf numFmtId="0" fontId="74" fillId="21" borderId="48" xfId="0" applyFont="1" applyFill="1" applyBorder="1"/>
    <xf numFmtId="0" fontId="91" fillId="0" borderId="9" xfId="1" applyFont="1" applyFill="1" applyBorder="1"/>
    <xf numFmtId="2" fontId="25" fillId="0" borderId="9" xfId="1" applyNumberFormat="1" applyFont="1" applyFill="1" applyBorder="1" applyAlignment="1">
      <alignment horizontal="right"/>
    </xf>
    <xf numFmtId="2" fontId="31" fillId="0" borderId="0" xfId="1" applyNumberFormat="1" applyFont="1" applyFill="1"/>
    <xf numFmtId="0" fontId="87" fillId="0" borderId="48" xfId="1" applyFont="1" applyFill="1" applyBorder="1" applyAlignment="1">
      <alignment wrapText="1"/>
    </xf>
    <xf numFmtId="4" fontId="6" fillId="14" borderId="16" xfId="1" applyNumberFormat="1" applyFont="1" applyFill="1" applyBorder="1" applyAlignment="1">
      <alignment horizontal="right"/>
    </xf>
    <xf numFmtId="4" fontId="25" fillId="14" borderId="17" xfId="1" applyNumberFormat="1" applyFont="1" applyFill="1" applyBorder="1" applyAlignment="1">
      <alignment horizontal="right"/>
    </xf>
    <xf numFmtId="4" fontId="25" fillId="14" borderId="16" xfId="1" applyNumberFormat="1" applyFont="1" applyFill="1" applyBorder="1" applyAlignment="1">
      <alignment horizontal="right"/>
    </xf>
    <xf numFmtId="2" fontId="25" fillId="0" borderId="9" xfId="1" applyNumberFormat="1" applyFont="1" applyFill="1" applyBorder="1" applyAlignment="1">
      <alignment horizontal="center"/>
    </xf>
    <xf numFmtId="4" fontId="22" fillId="0" borderId="0" xfId="1" applyNumberFormat="1" applyFont="1" applyFill="1" applyBorder="1" applyAlignment="1"/>
    <xf numFmtId="0" fontId="85" fillId="17" borderId="48" xfId="0" applyFont="1" applyFill="1" applyBorder="1"/>
    <xf numFmtId="2" fontId="0" fillId="0" borderId="0" xfId="0" applyNumberFormat="1"/>
    <xf numFmtId="0" fontId="0" fillId="24" borderId="48" xfId="0" applyFill="1" applyBorder="1"/>
    <xf numFmtId="0" fontId="0" fillId="24" borderId="53" xfId="0" applyFill="1" applyBorder="1"/>
    <xf numFmtId="2" fontId="0" fillId="24" borderId="48" xfId="0" applyNumberFormat="1" applyFill="1" applyBorder="1"/>
    <xf numFmtId="4" fontId="10" fillId="0" borderId="0" xfId="1" applyNumberFormat="1" applyFont="1" applyFill="1" applyBorder="1"/>
    <xf numFmtId="4" fontId="61" fillId="0" borderId="0" xfId="2" applyNumberFormat="1" applyFont="1" applyBorder="1" applyAlignment="1">
      <alignment horizontal="right" vertical="top"/>
    </xf>
    <xf numFmtId="0" fontId="10" fillId="0" borderId="0" xfId="1" applyFont="1" applyFill="1" applyBorder="1"/>
    <xf numFmtId="4" fontId="25" fillId="0" borderId="28" xfId="1" applyNumberFormat="1" applyFont="1" applyFill="1" applyBorder="1"/>
    <xf numFmtId="177" fontId="84" fillId="24" borderId="48" xfId="1" applyNumberFormat="1" applyFont="1" applyFill="1" applyBorder="1" applyAlignment="1"/>
    <xf numFmtId="0" fontId="38" fillId="0" borderId="9" xfId="1" applyFont="1" applyFill="1" applyBorder="1" applyAlignment="1">
      <alignment horizontal="left"/>
    </xf>
    <xf numFmtId="4" fontId="8" fillId="0" borderId="9" xfId="1" applyNumberFormat="1" applyFont="1" applyFill="1" applyBorder="1" applyAlignment="1">
      <alignment horizontal="right"/>
    </xf>
    <xf numFmtId="4" fontId="43" fillId="0" borderId="29" xfId="1" applyNumberFormat="1" applyFont="1" applyFill="1" applyBorder="1"/>
    <xf numFmtId="0" fontId="8" fillId="0" borderId="20" xfId="1" applyFont="1" applyFill="1" applyBorder="1"/>
    <xf numFmtId="4" fontId="43" fillId="24" borderId="21" xfId="1" applyNumberFormat="1" applyFont="1" applyFill="1" applyBorder="1"/>
    <xf numFmtId="4" fontId="43" fillId="26" borderId="21" xfId="1" applyNumberFormat="1" applyFont="1" applyFill="1" applyBorder="1"/>
    <xf numFmtId="4" fontId="25" fillId="24" borderId="21" xfId="1" applyNumberFormat="1" applyFont="1" applyFill="1" applyBorder="1" applyAlignment="1">
      <alignment vertical="center"/>
    </xf>
    <xf numFmtId="4" fontId="25" fillId="24" borderId="21" xfId="1" applyNumberFormat="1" applyFont="1" applyFill="1" applyBorder="1"/>
    <xf numFmtId="4" fontId="43" fillId="27" borderId="8" xfId="1" applyNumberFormat="1" applyFont="1" applyFill="1" applyBorder="1"/>
    <xf numFmtId="4" fontId="25" fillId="24" borderId="24" xfId="1" applyNumberFormat="1" applyFont="1" applyFill="1" applyBorder="1" applyAlignment="1">
      <alignment vertical="center"/>
    </xf>
    <xf numFmtId="0" fontId="3" fillId="4" borderId="30" xfId="1" applyFont="1" applyFill="1" applyBorder="1" applyAlignment="1">
      <alignment horizontal="left"/>
    </xf>
    <xf numFmtId="4" fontId="25" fillId="0" borderId="31" xfId="1" applyNumberFormat="1" applyFont="1" applyFill="1" applyBorder="1"/>
    <xf numFmtId="4" fontId="25" fillId="0" borderId="15" xfId="1" applyNumberFormat="1" applyFont="1" applyFill="1" applyBorder="1"/>
    <xf numFmtId="4" fontId="25" fillId="0" borderId="16" xfId="1" applyNumberFormat="1" applyFont="1" applyFill="1" applyBorder="1"/>
    <xf numFmtId="4" fontId="6" fillId="0" borderId="16" xfId="1" applyNumberFormat="1" applyFont="1" applyFill="1" applyBorder="1"/>
    <xf numFmtId="4" fontId="5" fillId="0" borderId="24" xfId="1" applyNumberFormat="1" applyFont="1" applyFill="1" applyBorder="1"/>
    <xf numFmtId="4" fontId="6" fillId="0" borderId="32" xfId="1" applyNumberFormat="1" applyFont="1" applyFill="1" applyBorder="1"/>
    <xf numFmtId="4" fontId="25" fillId="0" borderId="19" xfId="1" applyNumberFormat="1" applyFont="1" applyFill="1" applyBorder="1"/>
    <xf numFmtId="0" fontId="0" fillId="17" borderId="51" xfId="0" applyFill="1" applyBorder="1"/>
    <xf numFmtId="176" fontId="0" fillId="17" borderId="52" xfId="0" applyNumberFormat="1" applyFill="1" applyBorder="1"/>
    <xf numFmtId="0" fontId="0" fillId="24" borderId="52" xfId="0" applyFill="1" applyBorder="1"/>
    <xf numFmtId="176" fontId="0" fillId="17" borderId="53" xfId="0" applyNumberFormat="1" applyFill="1" applyBorder="1"/>
    <xf numFmtId="0" fontId="0" fillId="0" borderId="24" xfId="0" applyBorder="1"/>
    <xf numFmtId="49" fontId="40" fillId="0" borderId="0" xfId="1" applyNumberFormat="1" applyFont="1" applyFill="1" applyAlignment="1">
      <alignment horizontal="right"/>
    </xf>
    <xf numFmtId="4" fontId="43" fillId="0" borderId="8" xfId="1" applyNumberFormat="1" applyFont="1" applyFill="1" applyBorder="1" applyAlignment="1">
      <alignment horizontal="right"/>
    </xf>
    <xf numFmtId="176" fontId="0" fillId="17" borderId="54" xfId="0" applyNumberFormat="1" applyFill="1" applyBorder="1"/>
    <xf numFmtId="4" fontId="25" fillId="26" borderId="9" xfId="1" applyNumberFormat="1" applyFont="1" applyFill="1" applyBorder="1"/>
    <xf numFmtId="4" fontId="43" fillId="0" borderId="9" xfId="1" quotePrefix="1" applyNumberFormat="1" applyFont="1" applyFill="1" applyBorder="1"/>
    <xf numFmtId="4" fontId="31" fillId="0" borderId="0" xfId="1" applyNumberFormat="1" applyFont="1" applyFill="1"/>
    <xf numFmtId="0" fontId="8" fillId="0" borderId="9" xfId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2" fontId="78" fillId="0" borderId="48" xfId="1" applyNumberFormat="1" applyFont="1" applyFill="1" applyBorder="1" applyAlignment="1">
      <alignment wrapText="1"/>
    </xf>
    <xf numFmtId="177" fontId="0" fillId="0" borderId="0" xfId="0" applyNumberFormat="1"/>
    <xf numFmtId="14" fontId="0" fillId="0" borderId="0" xfId="0" applyNumberFormat="1"/>
    <xf numFmtId="0" fontId="9" fillId="0" borderId="9" xfId="0" applyFont="1" applyBorder="1" applyAlignment="1">
      <alignment horizontal="right"/>
    </xf>
    <xf numFmtId="2" fontId="43" fillId="24" borderId="9" xfId="1" applyNumberFormat="1" applyFont="1" applyFill="1" applyBorder="1" applyAlignment="1">
      <alignment horizontal="right"/>
    </xf>
    <xf numFmtId="0" fontId="2" fillId="23" borderId="9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97" fillId="0" borderId="48" xfId="1" applyFont="1" applyFill="1" applyBorder="1" applyAlignment="1"/>
    <xf numFmtId="2" fontId="2" fillId="23" borderId="9" xfId="0" applyNumberFormat="1" applyFont="1" applyFill="1" applyBorder="1" applyAlignment="1">
      <alignment horizontal="right"/>
    </xf>
    <xf numFmtId="0" fontId="35" fillId="23" borderId="9" xfId="0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right"/>
    </xf>
    <xf numFmtId="0" fontId="25" fillId="0" borderId="9" xfId="1" applyFont="1" applyFill="1" applyBorder="1" applyAlignment="1">
      <alignment horizontal="right"/>
    </xf>
    <xf numFmtId="4" fontId="25" fillId="0" borderId="7" xfId="1" applyNumberFormat="1" applyFont="1" applyFill="1" applyBorder="1" applyAlignment="1">
      <alignment horizontal="right"/>
    </xf>
    <xf numFmtId="0" fontId="31" fillId="0" borderId="9" xfId="1" applyFont="1" applyFill="1" applyBorder="1" applyAlignment="1">
      <alignment horizontal="left"/>
    </xf>
    <xf numFmtId="4" fontId="55" fillId="0" borderId="9" xfId="1" applyNumberFormat="1" applyFont="1" applyFill="1" applyBorder="1"/>
    <xf numFmtId="4" fontId="49" fillId="0" borderId="9" xfId="1" applyNumberFormat="1" applyFont="1" applyFill="1" applyBorder="1"/>
    <xf numFmtId="4" fontId="49" fillId="21" borderId="9" xfId="1" applyNumberFormat="1" applyFont="1" applyFill="1" applyBorder="1"/>
    <xf numFmtId="4" fontId="25" fillId="0" borderId="32" xfId="1" applyNumberFormat="1" applyFont="1" applyFill="1" applyBorder="1"/>
    <xf numFmtId="0" fontId="98" fillId="0" borderId="48" xfId="1" applyFont="1" applyFill="1" applyBorder="1" applyAlignment="1"/>
    <xf numFmtId="0" fontId="49" fillId="0" borderId="0" xfId="1" applyFont="1" applyFill="1"/>
    <xf numFmtId="0" fontId="43" fillId="0" borderId="0" xfId="1" applyFont="1" applyFill="1"/>
    <xf numFmtId="0" fontId="43" fillId="0" borderId="0" xfId="0" applyFont="1"/>
    <xf numFmtId="2" fontId="43" fillId="0" borderId="0" xfId="0" applyNumberFormat="1" applyFont="1" applyAlignment="1"/>
    <xf numFmtId="4" fontId="1" fillId="0" borderId="0" xfId="1" applyNumberFormat="1" applyFill="1" applyBorder="1" applyAlignment="1">
      <alignment wrapText="1"/>
    </xf>
    <xf numFmtId="4" fontId="9" fillId="0" borderId="33" xfId="2" applyNumberFormat="1" applyFont="1" applyBorder="1" applyAlignment="1">
      <alignment horizontal="right"/>
    </xf>
    <xf numFmtId="4" fontId="43" fillId="24" borderId="9" xfId="1" applyNumberFormat="1" applyFont="1" applyFill="1" applyBorder="1" applyAlignment="1"/>
    <xf numFmtId="4" fontId="43" fillId="26" borderId="9" xfId="1" applyNumberFormat="1" applyFont="1" applyFill="1" applyBorder="1" applyAlignment="1"/>
    <xf numFmtId="4" fontId="9" fillId="24" borderId="9" xfId="1" applyNumberFormat="1" applyFont="1" applyFill="1" applyBorder="1" applyAlignment="1"/>
    <xf numFmtId="0" fontId="25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4" fontId="6" fillId="0" borderId="33" xfId="2" applyNumberFormat="1" applyFont="1" applyBorder="1" applyAlignment="1">
      <alignment horizontal="right" vertical="top"/>
    </xf>
    <xf numFmtId="4" fontId="62" fillId="0" borderId="0" xfId="1" applyNumberFormat="1" applyFont="1" applyFill="1" applyBorder="1" applyAlignment="1">
      <alignment wrapText="1"/>
    </xf>
    <xf numFmtId="0" fontId="99" fillId="0" borderId="0" xfId="0" applyFont="1" applyBorder="1" applyAlignment="1">
      <alignment wrapText="1"/>
    </xf>
    <xf numFmtId="4" fontId="43" fillId="0" borderId="33" xfId="2" applyNumberFormat="1" applyFont="1" applyBorder="1" applyAlignment="1">
      <alignment horizontal="right"/>
    </xf>
    <xf numFmtId="0" fontId="63" fillId="10" borderId="24" xfId="0" applyFont="1" applyFill="1" applyBorder="1" applyAlignment="1">
      <alignment horizontal="left"/>
    </xf>
    <xf numFmtId="0" fontId="63" fillId="10" borderId="24" xfId="0" applyFont="1" applyFill="1" applyBorder="1" applyAlignment="1">
      <alignment horizontal="left" wrapText="1"/>
    </xf>
    <xf numFmtId="0" fontId="63" fillId="0" borderId="24" xfId="0" applyFont="1" applyFill="1" applyBorder="1" applyAlignment="1">
      <alignment horizontal="left" wrapText="1"/>
    </xf>
    <xf numFmtId="0" fontId="63" fillId="0" borderId="24" xfId="0" applyFont="1" applyFill="1" applyBorder="1" applyAlignment="1">
      <alignment horizontal="left"/>
    </xf>
    <xf numFmtId="0" fontId="2" fillId="22" borderId="34" xfId="1" applyFont="1" applyFill="1" applyBorder="1" applyAlignment="1">
      <alignment horizontal="left" wrapText="1"/>
    </xf>
    <xf numFmtId="0" fontId="7" fillId="0" borderId="20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12" fillId="0" borderId="20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left"/>
    </xf>
    <xf numFmtId="0" fontId="1" fillId="0" borderId="20" xfId="1" applyFont="1" applyFill="1" applyBorder="1" applyAlignment="1">
      <alignment horizontal="left" wrapText="1"/>
    </xf>
    <xf numFmtId="0" fontId="55" fillId="0" borderId="0" xfId="0" applyFont="1" applyFill="1"/>
    <xf numFmtId="0" fontId="0" fillId="0" borderId="31" xfId="0" applyFill="1" applyBorder="1" applyAlignment="1">
      <alignment horizontal="center" vertical="center"/>
    </xf>
    <xf numFmtId="0" fontId="31" fillId="10" borderId="27" xfId="0" applyFont="1" applyFill="1" applyBorder="1" applyAlignment="1">
      <alignment horizontal="left"/>
    </xf>
    <xf numFmtId="0" fontId="63" fillId="30" borderId="27" xfId="0" applyFont="1" applyFill="1" applyBorder="1" applyAlignment="1">
      <alignment horizontal="left"/>
    </xf>
    <xf numFmtId="0" fontId="31" fillId="10" borderId="24" xfId="0" applyFont="1" applyFill="1" applyBorder="1" applyAlignment="1">
      <alignment horizontal="left" wrapText="1"/>
    </xf>
    <xf numFmtId="0" fontId="31" fillId="10" borderId="24" xfId="0" applyFont="1" applyFill="1" applyBorder="1" applyAlignment="1">
      <alignment horizontal="left"/>
    </xf>
    <xf numFmtId="0" fontId="64" fillId="9" borderId="24" xfId="0" applyFont="1" applyFill="1" applyBorder="1" applyAlignment="1">
      <alignment horizontal="left"/>
    </xf>
    <xf numFmtId="0" fontId="31" fillId="0" borderId="24" xfId="0" applyFont="1" applyFill="1" applyBorder="1" applyAlignment="1">
      <alignment horizontal="left"/>
    </xf>
    <xf numFmtId="0" fontId="38" fillId="0" borderId="24" xfId="0" applyFont="1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8" borderId="24" xfId="0" applyFill="1" applyBorder="1" applyAlignment="1">
      <alignment vertical="top" wrapText="1"/>
    </xf>
    <xf numFmtId="0" fontId="0" fillId="0" borderId="24" xfId="0" applyFill="1" applyBorder="1" applyAlignment="1">
      <alignment horizontal="left" vertical="top" wrapText="1"/>
    </xf>
    <xf numFmtId="0" fontId="31" fillId="21" borderId="24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8" borderId="24" xfId="0" applyFont="1" applyFill="1" applyBorder="1" applyAlignment="1">
      <alignment vertical="top"/>
    </xf>
    <xf numFmtId="0" fontId="31" fillId="21" borderId="24" xfId="0" applyFont="1" applyFill="1" applyBorder="1" applyAlignment="1">
      <alignment vertical="top"/>
    </xf>
    <xf numFmtId="0" fontId="0" fillId="31" borderId="24" xfId="0" applyFill="1" applyBorder="1" applyAlignment="1">
      <alignment vertical="top" wrapText="1"/>
    </xf>
    <xf numFmtId="0" fontId="31" fillId="29" borderId="24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/>
    </xf>
    <xf numFmtId="1" fontId="38" fillId="0" borderId="36" xfId="0" applyNumberFormat="1" applyFont="1" applyFill="1" applyBorder="1" applyAlignment="1">
      <alignment horizontal="center"/>
    </xf>
    <xf numFmtId="1" fontId="31" fillId="11" borderId="36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0" fontId="31" fillId="10" borderId="24" xfId="0" applyFont="1" applyFill="1" applyBorder="1" applyAlignment="1">
      <alignment vertical="top" wrapText="1"/>
    </xf>
    <xf numFmtId="0" fontId="31" fillId="0" borderId="24" xfId="0" applyFont="1" applyFill="1" applyBorder="1" applyAlignment="1">
      <alignment vertical="top" wrapText="1"/>
    </xf>
    <xf numFmtId="0" fontId="31" fillId="12" borderId="31" xfId="0" applyFont="1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31" fillId="13" borderId="24" xfId="0" applyFont="1" applyFill="1" applyBorder="1" applyAlignment="1">
      <alignment vertical="top" wrapText="1"/>
    </xf>
    <xf numFmtId="0" fontId="65" fillId="0" borderId="0" xfId="0" applyFont="1" applyFill="1" applyBorder="1" applyAlignment="1">
      <alignment horizontal="right"/>
    </xf>
    <xf numFmtId="0" fontId="63" fillId="0" borderId="0" xfId="0" applyFont="1" applyFill="1" applyBorder="1" applyAlignment="1">
      <alignment horizontal="right"/>
    </xf>
    <xf numFmtId="0" fontId="25" fillId="0" borderId="0" xfId="0" applyFont="1" applyFill="1"/>
    <xf numFmtId="0" fontId="0" fillId="0" borderId="24" xfId="0" applyFill="1" applyBorder="1"/>
    <xf numFmtId="0" fontId="55" fillId="32" borderId="24" xfId="0" applyFont="1" applyFill="1" applyBorder="1"/>
    <xf numFmtId="0" fontId="31" fillId="13" borderId="24" xfId="0" applyFont="1" applyFill="1" applyBorder="1"/>
    <xf numFmtId="0" fontId="31" fillId="0" borderId="0" xfId="0" applyFont="1" applyFill="1"/>
    <xf numFmtId="0" fontId="66" fillId="0" borderId="24" xfId="0" applyFont="1" applyFill="1" applyBorder="1"/>
    <xf numFmtId="0" fontId="0" fillId="0" borderId="24" xfId="0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7" fillId="0" borderId="24" xfId="0" applyFont="1" applyFill="1" applyBorder="1" applyAlignment="1">
      <alignment horizontal="left"/>
    </xf>
    <xf numFmtId="0" fontId="68" fillId="0" borderId="0" xfId="0" applyFont="1" applyAlignment="1">
      <alignment wrapText="1"/>
    </xf>
    <xf numFmtId="0" fontId="68" fillId="0" borderId="0" xfId="0" applyFont="1"/>
    <xf numFmtId="0" fontId="2" fillId="0" borderId="38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left"/>
    </xf>
    <xf numFmtId="4" fontId="5" fillId="0" borderId="39" xfId="1" applyNumberFormat="1" applyFont="1" applyFill="1" applyBorder="1"/>
    <xf numFmtId="4" fontId="13" fillId="0" borderId="21" xfId="1" applyNumberFormat="1" applyFont="1" applyFill="1" applyBorder="1"/>
    <xf numFmtId="0" fontId="2" fillId="4" borderId="40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0" fontId="16" fillId="0" borderId="24" xfId="1" applyFont="1" applyFill="1" applyBorder="1" applyAlignment="1">
      <alignment horizontal="left"/>
    </xf>
    <xf numFmtId="0" fontId="2" fillId="31" borderId="9" xfId="1" applyFont="1" applyFill="1" applyBorder="1" applyAlignment="1">
      <alignment horizontal="left"/>
    </xf>
    <xf numFmtId="4" fontId="5" fillId="31" borderId="9" xfId="1" applyNumberFormat="1" applyFont="1" applyFill="1" applyBorder="1"/>
    <xf numFmtId="4" fontId="25" fillId="31" borderId="9" xfId="1" applyNumberFormat="1" applyFont="1" applyFill="1" applyBorder="1"/>
    <xf numFmtId="4" fontId="6" fillId="31" borderId="9" xfId="1" applyNumberFormat="1" applyFont="1" applyFill="1" applyBorder="1"/>
    <xf numFmtId="0" fontId="21" fillId="32" borderId="9" xfId="1" applyFont="1" applyFill="1" applyBorder="1"/>
    <xf numFmtId="4" fontId="25" fillId="32" borderId="9" xfId="1" applyNumberFormat="1" applyFont="1" applyFill="1" applyBorder="1"/>
    <xf numFmtId="4" fontId="6" fillId="32" borderId="9" xfId="1" applyNumberFormat="1" applyFont="1" applyFill="1" applyBorder="1"/>
    <xf numFmtId="4" fontId="2" fillId="32" borderId="9" xfId="1" applyNumberFormat="1" applyFont="1" applyFill="1" applyBorder="1" applyAlignment="1"/>
    <xf numFmtId="0" fontId="69" fillId="0" borderId="9" xfId="1" applyFont="1" applyFill="1" applyBorder="1"/>
    <xf numFmtId="0" fontId="35" fillId="21" borderId="9" xfId="0" applyFont="1" applyFill="1" applyBorder="1" applyAlignment="1">
      <alignment horizontal="left"/>
    </xf>
    <xf numFmtId="0" fontId="0" fillId="0" borderId="25" xfId="0" applyFont="1" applyBorder="1" applyAlignment="1">
      <alignment wrapText="1"/>
    </xf>
    <xf numFmtId="0" fontId="0" fillId="0" borderId="25" xfId="0" applyBorder="1"/>
    <xf numFmtId="0" fontId="3" fillId="33" borderId="3" xfId="1" applyFont="1" applyFill="1" applyBorder="1" applyAlignment="1">
      <alignment horizontal="left"/>
    </xf>
    <xf numFmtId="0" fontId="2" fillId="33" borderId="3" xfId="1" applyFont="1" applyFill="1" applyBorder="1" applyAlignment="1">
      <alignment horizontal="left"/>
    </xf>
    <xf numFmtId="0" fontId="3" fillId="33" borderId="4" xfId="1" applyFont="1" applyFill="1" applyBorder="1" applyAlignment="1">
      <alignment horizontal="left"/>
    </xf>
    <xf numFmtId="4" fontId="1" fillId="0" borderId="0" xfId="1" applyNumberFormat="1" applyFill="1" applyBorder="1"/>
    <xf numFmtId="4" fontId="91" fillId="24" borderId="0" xfId="1" applyNumberFormat="1" applyFont="1" applyFill="1" applyBorder="1"/>
    <xf numFmtId="4" fontId="91" fillId="0" borderId="0" xfId="1" applyNumberFormat="1" applyFont="1" applyFill="1" applyBorder="1"/>
    <xf numFmtId="4" fontId="38" fillId="0" borderId="0" xfId="1" applyNumberFormat="1" applyFont="1" applyFill="1" applyBorder="1"/>
    <xf numFmtId="4" fontId="24" fillId="0" borderId="0" xfId="1" applyNumberFormat="1" applyFont="1" applyFill="1" applyBorder="1"/>
    <xf numFmtId="0" fontId="22" fillId="0" borderId="0" xfId="1" applyFont="1" applyFill="1" applyBorder="1"/>
    <xf numFmtId="4" fontId="1" fillId="0" borderId="0" xfId="1" applyNumberFormat="1" applyFont="1" applyFill="1" applyBorder="1"/>
    <xf numFmtId="4" fontId="25" fillId="0" borderId="0" xfId="1" applyNumberFormat="1" applyFont="1" applyFill="1" applyBorder="1"/>
    <xf numFmtId="0" fontId="100" fillId="0" borderId="24" xfId="1" applyFont="1" applyFill="1" applyBorder="1" applyAlignment="1">
      <alignment horizontal="left" wrapText="1"/>
    </xf>
    <xf numFmtId="0" fontId="101" fillId="0" borderId="24" xfId="1" applyFont="1" applyFill="1" applyBorder="1"/>
    <xf numFmtId="4" fontId="102" fillId="0" borderId="24" xfId="1" applyNumberFormat="1" applyFont="1" applyFill="1" applyBorder="1"/>
    <xf numFmtId="4" fontId="102" fillId="0" borderId="15" xfId="1" applyNumberFormat="1" applyFont="1" applyFill="1" applyBorder="1"/>
    <xf numFmtId="4" fontId="102" fillId="0" borderId="16" xfId="1" applyNumberFormat="1" applyFont="1" applyFill="1" applyBorder="1"/>
    <xf numFmtId="4" fontId="103" fillId="0" borderId="16" xfId="1" applyNumberFormat="1" applyFont="1" applyFill="1" applyBorder="1"/>
    <xf numFmtId="4" fontId="102" fillId="0" borderId="0" xfId="1" applyNumberFormat="1" applyFont="1" applyFill="1" applyBorder="1"/>
    <xf numFmtId="4" fontId="104" fillId="0" borderId="0" xfId="1" applyNumberFormat="1" applyFont="1" applyFill="1" applyBorder="1"/>
    <xf numFmtId="4" fontId="90" fillId="0" borderId="0" xfId="1" applyNumberFormat="1" applyFont="1" applyFill="1"/>
    <xf numFmtId="0" fontId="91" fillId="0" borderId="0" xfId="1" applyFont="1" applyFill="1"/>
    <xf numFmtId="0" fontId="90" fillId="0" borderId="0" xfId="1" applyFont="1" applyFill="1"/>
    <xf numFmtId="0" fontId="105" fillId="0" borderId="8" xfId="1" applyFont="1" applyFill="1" applyBorder="1" applyAlignment="1">
      <alignment horizontal="left"/>
    </xf>
    <xf numFmtId="0" fontId="105" fillId="0" borderId="19" xfId="1" applyFont="1" applyFill="1" applyBorder="1" applyAlignment="1">
      <alignment horizontal="left"/>
    </xf>
    <xf numFmtId="4" fontId="101" fillId="0" borderId="19" xfId="1" applyNumberFormat="1" applyFont="1" applyFill="1" applyBorder="1"/>
    <xf numFmtId="4" fontId="104" fillId="0" borderId="27" xfId="1" applyNumberFormat="1" applyFont="1" applyFill="1" applyBorder="1"/>
    <xf numFmtId="0" fontId="106" fillId="0" borderId="9" xfId="1" applyFont="1" applyFill="1" applyBorder="1" applyAlignment="1">
      <alignment horizontal="left"/>
    </xf>
    <xf numFmtId="4" fontId="107" fillId="0" borderId="9" xfId="1" applyNumberFormat="1" applyFont="1" applyFill="1" applyBorder="1"/>
    <xf numFmtId="4" fontId="102" fillId="27" borderId="0" xfId="1" applyNumberFormat="1" applyFont="1" applyFill="1" applyBorder="1"/>
    <xf numFmtId="4" fontId="102" fillId="27" borderId="9" xfId="1" applyNumberFormat="1" applyFont="1" applyFill="1" applyBorder="1"/>
    <xf numFmtId="4" fontId="103" fillId="27" borderId="9" xfId="1" applyNumberFormat="1" applyFont="1" applyFill="1" applyBorder="1"/>
    <xf numFmtId="4" fontId="102" fillId="26" borderId="0" xfId="1" applyNumberFormat="1" applyFont="1" applyFill="1" applyBorder="1"/>
    <xf numFmtId="4" fontId="108" fillId="24" borderId="9" xfId="1" applyNumberFormat="1" applyFont="1" applyFill="1" applyBorder="1"/>
    <xf numFmtId="4" fontId="109" fillId="24" borderId="9" xfId="1" applyNumberFormat="1" applyFont="1" applyFill="1" applyBorder="1"/>
    <xf numFmtId="4" fontId="108" fillId="0" borderId="9" xfId="1" applyNumberFormat="1" applyFont="1" applyFill="1" applyBorder="1"/>
    <xf numFmtId="4" fontId="104" fillId="0" borderId="9" xfId="1" applyNumberFormat="1" applyFont="1" applyFill="1" applyBorder="1"/>
    <xf numFmtId="4" fontId="101" fillId="0" borderId="8" xfId="1" applyNumberFormat="1" applyFont="1" applyFill="1" applyBorder="1"/>
    <xf numFmtId="4" fontId="104" fillId="0" borderId="16" xfId="1" applyNumberFormat="1" applyFont="1" applyFill="1" applyBorder="1"/>
    <xf numFmtId="4" fontId="104" fillId="0" borderId="8" xfId="1" applyNumberFormat="1" applyFont="1" applyFill="1" applyBorder="1"/>
    <xf numFmtId="4" fontId="110" fillId="0" borderId="8" xfId="1" applyNumberFormat="1" applyFont="1" applyFill="1" applyBorder="1"/>
    <xf numFmtId="4" fontId="104" fillId="0" borderId="24" xfId="1" applyNumberFormat="1" applyFont="1" applyFill="1" applyBorder="1"/>
    <xf numFmtId="4" fontId="104" fillId="0" borderId="25" xfId="1" applyNumberFormat="1" applyFont="1" applyFill="1" applyBorder="1"/>
    <xf numFmtId="0" fontId="100" fillId="0" borderId="41" xfId="1" applyFont="1" applyFill="1" applyBorder="1" applyAlignment="1">
      <alignment horizontal="left" wrapText="1"/>
    </xf>
    <xf numFmtId="0" fontId="101" fillId="0" borderId="2" xfId="1" applyFont="1" applyFill="1" applyBorder="1"/>
    <xf numFmtId="4" fontId="102" fillId="0" borderId="2" xfId="1" applyNumberFormat="1" applyFont="1" applyFill="1" applyBorder="1"/>
    <xf numFmtId="4" fontId="103" fillId="0" borderId="2" xfId="1" applyNumberFormat="1" applyFont="1" applyFill="1" applyBorder="1"/>
    <xf numFmtId="0" fontId="11" fillId="31" borderId="9" xfId="1" applyFont="1" applyFill="1" applyBorder="1" applyAlignment="1">
      <alignment horizontal="left"/>
    </xf>
    <xf numFmtId="0" fontId="11" fillId="31" borderId="20" xfId="1" applyFont="1" applyFill="1" applyBorder="1" applyAlignment="1">
      <alignment horizontal="left"/>
    </xf>
    <xf numFmtId="4" fontId="8" fillId="31" borderId="20" xfId="1" applyNumberFormat="1" applyFont="1" applyFill="1" applyBorder="1"/>
    <xf numFmtId="4" fontId="25" fillId="31" borderId="24" xfId="1" applyNumberFormat="1" applyFont="1" applyFill="1" applyBorder="1"/>
    <xf numFmtId="0" fontId="11" fillId="31" borderId="8" xfId="1" applyFont="1" applyFill="1" applyBorder="1" applyAlignment="1">
      <alignment horizontal="left"/>
    </xf>
    <xf numFmtId="4" fontId="8" fillId="31" borderId="8" xfId="1" applyNumberFormat="1" applyFont="1" applyFill="1" applyBorder="1"/>
    <xf numFmtId="4" fontId="25" fillId="31" borderId="8" xfId="1" applyNumberFormat="1" applyFont="1" applyFill="1" applyBorder="1"/>
    <xf numFmtId="0" fontId="11" fillId="31" borderId="19" xfId="1" applyFont="1" applyFill="1" applyBorder="1" applyAlignment="1">
      <alignment horizontal="left"/>
    </xf>
    <xf numFmtId="4" fontId="8" fillId="31" borderId="19" xfId="1" applyNumberFormat="1" applyFont="1" applyFill="1" applyBorder="1"/>
    <xf numFmtId="4" fontId="25" fillId="31" borderId="27" xfId="1" applyNumberFormat="1" applyFont="1" applyFill="1" applyBorder="1"/>
    <xf numFmtId="0" fontId="71" fillId="0" borderId="9" xfId="1" applyFont="1" applyFill="1" applyBorder="1" applyAlignment="1">
      <alignment horizontal="left" wrapText="1"/>
    </xf>
    <xf numFmtId="0" fontId="71" fillId="0" borderId="20" xfId="1" applyFont="1" applyFill="1" applyBorder="1" applyAlignment="1">
      <alignment horizontal="left" wrapText="1"/>
    </xf>
    <xf numFmtId="4" fontId="111" fillId="0" borderId="20" xfId="1" applyNumberFormat="1" applyFont="1" applyFill="1" applyBorder="1"/>
    <xf numFmtId="4" fontId="104" fillId="0" borderId="21" xfId="1" applyNumberFormat="1" applyFont="1" applyFill="1" applyBorder="1"/>
    <xf numFmtId="4" fontId="110" fillId="0" borderId="9" xfId="1" applyNumberFormat="1" applyFont="1" applyFill="1" applyBorder="1"/>
    <xf numFmtId="0" fontId="2" fillId="31" borderId="9" xfId="1" applyFont="1" applyFill="1" applyBorder="1" applyAlignment="1">
      <alignment horizontal="left" wrapText="1"/>
    </xf>
    <xf numFmtId="0" fontId="2" fillId="31" borderId="20" xfId="1" applyFont="1" applyFill="1" applyBorder="1" applyAlignment="1">
      <alignment horizontal="left" wrapText="1"/>
    </xf>
    <xf numFmtId="4" fontId="5" fillId="31" borderId="20" xfId="1" applyNumberFormat="1" applyFont="1" applyFill="1" applyBorder="1"/>
    <xf numFmtId="0" fontId="1" fillId="0" borderId="2" xfId="1" applyFont="1" applyFill="1" applyBorder="1" applyAlignment="1">
      <alignment horizontal="left" wrapText="1"/>
    </xf>
    <xf numFmtId="0" fontId="1" fillId="0" borderId="38" xfId="1" applyFont="1" applyFill="1" applyBorder="1" applyAlignment="1">
      <alignment horizontal="left" wrapText="1"/>
    </xf>
    <xf numFmtId="4" fontId="8" fillId="0" borderId="38" xfId="1" applyNumberFormat="1" applyFont="1" applyFill="1" applyBorder="1"/>
    <xf numFmtId="4" fontId="43" fillId="0" borderId="31" xfId="1" applyNumberFormat="1" applyFont="1" applyFill="1" applyBorder="1"/>
    <xf numFmtId="0" fontId="1" fillId="0" borderId="8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/>
    </xf>
    <xf numFmtId="0" fontId="2" fillId="31" borderId="24" xfId="1" applyFont="1" applyFill="1" applyBorder="1" applyAlignment="1">
      <alignment horizontal="left" wrapText="1"/>
    </xf>
    <xf numFmtId="4" fontId="5" fillId="31" borderId="24" xfId="1" applyNumberFormat="1" applyFont="1" applyFill="1" applyBorder="1"/>
    <xf numFmtId="0" fontId="1" fillId="0" borderId="24" xfId="1" applyFont="1" applyFill="1" applyBorder="1" applyAlignment="1">
      <alignment horizontal="left" wrapText="1"/>
    </xf>
    <xf numFmtId="0" fontId="8" fillId="0" borderId="24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left" wrapText="1"/>
    </xf>
    <xf numFmtId="0" fontId="71" fillId="0" borderId="24" xfId="1" applyFont="1" applyFill="1" applyBorder="1" applyAlignment="1">
      <alignment horizontal="left" wrapText="1"/>
    </xf>
    <xf numFmtId="4" fontId="111" fillId="0" borderId="24" xfId="1" applyNumberFormat="1" applyFont="1" applyFill="1" applyBorder="1"/>
    <xf numFmtId="4" fontId="111" fillId="0" borderId="9" xfId="1" applyNumberFormat="1" applyFont="1" applyFill="1" applyBorder="1"/>
    <xf numFmtId="0" fontId="2" fillId="31" borderId="20" xfId="1" applyFont="1" applyFill="1" applyBorder="1" applyAlignment="1">
      <alignment horizontal="left"/>
    </xf>
    <xf numFmtId="0" fontId="5" fillId="31" borderId="24" xfId="1" applyFont="1" applyFill="1" applyBorder="1" applyAlignment="1">
      <alignment horizontal="left" wrapText="1"/>
    </xf>
    <xf numFmtId="0" fontId="5" fillId="31" borderId="11" xfId="1" applyFont="1" applyFill="1" applyBorder="1" applyAlignment="1">
      <alignment horizontal="left" wrapText="1"/>
    </xf>
    <xf numFmtId="0" fontId="5" fillId="31" borderId="26" xfId="1" applyFont="1" applyFill="1" applyBorder="1" applyAlignment="1">
      <alignment horizontal="left" wrapText="1"/>
    </xf>
    <xf numFmtId="4" fontId="5" fillId="31" borderId="8" xfId="1" applyNumberFormat="1" applyFont="1" applyFill="1" applyBorder="1"/>
    <xf numFmtId="0" fontId="3" fillId="2" borderId="42" xfId="1" applyFont="1" applyFill="1" applyBorder="1" applyAlignment="1">
      <alignment horizontal="left"/>
    </xf>
    <xf numFmtId="0" fontId="2" fillId="0" borderId="31" xfId="1" applyFont="1" applyFill="1" applyBorder="1" applyAlignment="1">
      <alignment horizontal="center" vertical="center"/>
    </xf>
    <xf numFmtId="0" fontId="5" fillId="31" borderId="10" xfId="1" applyFont="1" applyFill="1" applyBorder="1" applyAlignment="1">
      <alignment horizontal="left" wrapText="1"/>
    </xf>
    <xf numFmtId="0" fontId="3" fillId="21" borderId="43" xfId="1" applyFont="1" applyFill="1" applyBorder="1" applyAlignment="1">
      <alignment horizontal="left"/>
    </xf>
    <xf numFmtId="0" fontId="3" fillId="21" borderId="44" xfId="1" applyFont="1" applyFill="1" applyBorder="1" applyAlignment="1">
      <alignment horizontal="left"/>
    </xf>
    <xf numFmtId="0" fontId="2" fillId="21" borderId="44" xfId="1" applyFont="1" applyFill="1" applyBorder="1" applyAlignment="1">
      <alignment horizontal="left"/>
    </xf>
    <xf numFmtId="0" fontId="3" fillId="34" borderId="45" xfId="1" applyFont="1" applyFill="1" applyBorder="1" applyAlignment="1">
      <alignment horizontal="left"/>
    </xf>
    <xf numFmtId="0" fontId="2" fillId="31" borderId="19" xfId="1" applyFont="1" applyFill="1" applyBorder="1" applyAlignment="1">
      <alignment horizontal="left"/>
    </xf>
    <xf numFmtId="0" fontId="2" fillId="31" borderId="24" xfId="1" applyFont="1" applyFill="1" applyBorder="1" applyAlignment="1">
      <alignment horizontal="left"/>
    </xf>
    <xf numFmtId="4" fontId="5" fillId="31" borderId="26" xfId="1" applyNumberFormat="1" applyFont="1" applyFill="1" applyBorder="1"/>
    <xf numFmtId="0" fontId="5" fillId="31" borderId="46" xfId="1" applyFont="1" applyFill="1" applyBorder="1" applyAlignment="1">
      <alignment horizontal="left" wrapText="1"/>
    </xf>
    <xf numFmtId="4" fontId="5" fillId="31" borderId="21" xfId="1" applyNumberFormat="1" applyFont="1" applyFill="1" applyBorder="1"/>
    <xf numFmtId="0" fontId="71" fillId="0" borderId="9" xfId="1" applyFont="1" applyFill="1" applyBorder="1" applyAlignment="1">
      <alignment horizontal="left"/>
    </xf>
    <xf numFmtId="4" fontId="104" fillId="0" borderId="9" xfId="1" applyNumberFormat="1" applyFont="1" applyFill="1" applyBorder="1" applyAlignment="1">
      <alignment horizontal="right"/>
    </xf>
    <xf numFmtId="2" fontId="25" fillId="31" borderId="9" xfId="1" applyNumberFormat="1" applyFont="1" applyFill="1" applyBorder="1"/>
    <xf numFmtId="0" fontId="5" fillId="31" borderId="9" xfId="1" applyFont="1" applyFill="1" applyBorder="1" applyAlignment="1">
      <alignment horizontal="center"/>
    </xf>
    <xf numFmtId="0" fontId="111" fillId="0" borderId="9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 vertical="center"/>
    </xf>
    <xf numFmtId="0" fontId="43" fillId="0" borderId="21" xfId="1" applyFont="1" applyFill="1" applyBorder="1"/>
    <xf numFmtId="2" fontId="43" fillId="0" borderId="21" xfId="1" applyNumberFormat="1" applyFont="1" applyFill="1" applyBorder="1"/>
    <xf numFmtId="0" fontId="1" fillId="0" borderId="8" xfId="1" applyFont="1" applyFill="1" applyBorder="1" applyAlignment="1">
      <alignment wrapText="1"/>
    </xf>
    <xf numFmtId="4" fontId="43" fillId="0" borderId="27" xfId="1" applyNumberFormat="1" applyFont="1" applyFill="1" applyBorder="1"/>
    <xf numFmtId="0" fontId="2" fillId="21" borderId="24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/>
    </xf>
    <xf numFmtId="2" fontId="43" fillId="0" borderId="24" xfId="1" applyNumberFormat="1" applyFont="1" applyFill="1" applyBorder="1"/>
    <xf numFmtId="0" fontId="99" fillId="0" borderId="9" xfId="1" applyFont="1" applyFill="1" applyBorder="1" applyAlignment="1">
      <alignment horizontal="left" wrapText="1"/>
    </xf>
    <xf numFmtId="0" fontId="35" fillId="24" borderId="9" xfId="0" applyFont="1" applyFill="1" applyBorder="1" applyAlignment="1">
      <alignment horizontal="left"/>
    </xf>
    <xf numFmtId="0" fontId="13" fillId="24" borderId="9" xfId="0" applyFont="1" applyFill="1" applyBorder="1" applyAlignment="1">
      <alignment horizontal="left"/>
    </xf>
    <xf numFmtId="0" fontId="31" fillId="0" borderId="9" xfId="1" applyFont="1" applyFill="1" applyBorder="1" applyAlignment="1">
      <alignment horizontal="left" wrapText="1"/>
    </xf>
    <xf numFmtId="0" fontId="42" fillId="24" borderId="1" xfId="1" applyFont="1" applyFill="1" applyBorder="1" applyAlignment="1"/>
    <xf numFmtId="4" fontId="43" fillId="24" borderId="24" xfId="1" applyNumberFormat="1" applyFont="1" applyFill="1" applyBorder="1"/>
    <xf numFmtId="0" fontId="38" fillId="0" borderId="24" xfId="1" applyFont="1" applyFill="1" applyBorder="1" applyAlignment="1">
      <alignment horizontal="left" wrapText="1"/>
    </xf>
    <xf numFmtId="0" fontId="31" fillId="0" borderId="0" xfId="1" applyFont="1" applyFill="1" applyBorder="1"/>
    <xf numFmtId="4" fontId="8" fillId="0" borderId="9" xfId="1" applyNumberFormat="1" applyFont="1" applyFill="1" applyBorder="1" applyAlignment="1"/>
    <xf numFmtId="0" fontId="8" fillId="0" borderId="9" xfId="1" applyFont="1" applyFill="1" applyBorder="1" applyAlignment="1"/>
    <xf numFmtId="4" fontId="70" fillId="31" borderId="9" xfId="1" applyNumberFormat="1" applyFont="1" applyFill="1" applyBorder="1" applyAlignment="1">
      <alignment horizontal="right"/>
    </xf>
    <xf numFmtId="4" fontId="70" fillId="31" borderId="9" xfId="1" applyNumberFormat="1" applyFont="1" applyFill="1" applyBorder="1"/>
    <xf numFmtId="0" fontId="31" fillId="21" borderId="0" xfId="1" applyFont="1" applyFill="1"/>
    <xf numFmtId="0" fontId="0" fillId="24" borderId="0" xfId="0" applyFont="1" applyFill="1" applyAlignment="1">
      <alignment wrapText="1"/>
    </xf>
    <xf numFmtId="0" fontId="2" fillId="24" borderId="9" xfId="1" applyFont="1" applyFill="1" applyBorder="1" applyAlignment="1">
      <alignment horizontal="left" wrapText="1"/>
    </xf>
    <xf numFmtId="2" fontId="25" fillId="24" borderId="9" xfId="1" applyNumberFormat="1" applyFont="1" applyFill="1" applyBorder="1"/>
    <xf numFmtId="4" fontId="25" fillId="24" borderId="0" xfId="1" applyNumberFormat="1" applyFont="1" applyFill="1" applyBorder="1"/>
    <xf numFmtId="0" fontId="38" fillId="24" borderId="9" xfId="1" applyFont="1" applyFill="1" applyBorder="1" applyAlignment="1">
      <alignment horizontal="left" wrapText="1"/>
    </xf>
    <xf numFmtId="0" fontId="29" fillId="21" borderId="9" xfId="1" applyFont="1" applyFill="1" applyBorder="1" applyAlignment="1">
      <alignment horizontal="left" wrapText="1"/>
    </xf>
    <xf numFmtId="0" fontId="2" fillId="35" borderId="9" xfId="0" applyFont="1" applyFill="1" applyBorder="1" applyAlignment="1">
      <alignment horizontal="left"/>
    </xf>
    <xf numFmtId="0" fontId="29" fillId="35" borderId="9" xfId="1" applyFont="1" applyFill="1" applyBorder="1" applyAlignment="1">
      <alignment horizontal="left" wrapText="1"/>
    </xf>
    <xf numFmtId="4" fontId="37" fillId="35" borderId="9" xfId="0" applyNumberFormat="1" applyFont="1" applyFill="1" applyBorder="1" applyAlignment="1"/>
    <xf numFmtId="4" fontId="2" fillId="21" borderId="9" xfId="0" applyNumberFormat="1" applyFont="1" applyFill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110" fillId="0" borderId="9" xfId="0" applyNumberFormat="1" applyFont="1" applyBorder="1" applyAlignment="1">
      <alignment horizontal="right"/>
    </xf>
    <xf numFmtId="4" fontId="2" fillId="24" borderId="9" xfId="0" applyNumberFormat="1" applyFont="1" applyFill="1" applyBorder="1" applyAlignment="1">
      <alignment horizontal="right"/>
    </xf>
    <xf numFmtId="4" fontId="36" fillId="0" borderId="9" xfId="0" applyNumberFormat="1" applyFont="1" applyBorder="1" applyAlignment="1">
      <alignment horizontal="right"/>
    </xf>
    <xf numFmtId="4" fontId="112" fillId="0" borderId="9" xfId="0" applyNumberFormat="1" applyFont="1" applyBorder="1" applyAlignment="1">
      <alignment horizontal="right"/>
    </xf>
    <xf numFmtId="0" fontId="113" fillId="0" borderId="0" xfId="0" applyFont="1" applyFill="1" applyAlignment="1">
      <alignment horizontal="center" vertical="center"/>
    </xf>
    <xf numFmtId="4" fontId="22" fillId="0" borderId="0" xfId="1" applyNumberFormat="1" applyFont="1" applyFill="1" applyBorder="1" applyAlignment="1">
      <alignment horizontal="center"/>
    </xf>
    <xf numFmtId="4" fontId="49" fillId="0" borderId="47" xfId="1" applyNumberFormat="1" applyFont="1" applyFill="1" applyBorder="1" applyAlignment="1">
      <alignment horizontal="center" wrapText="1"/>
    </xf>
    <xf numFmtId="4" fontId="49" fillId="0" borderId="0" xfId="1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29" fillId="24" borderId="0" xfId="0" applyFont="1" applyFill="1" applyAlignment="1">
      <alignment horizontal="center"/>
    </xf>
    <xf numFmtId="0" fontId="1" fillId="0" borderId="1" xfId="1" applyFont="1" applyFill="1" applyBorder="1"/>
    <xf numFmtId="4" fontId="1" fillId="0" borderId="47" xfId="1" applyNumberFormat="1" applyFill="1" applyBorder="1" applyAlignment="1">
      <alignment horizontal="center" wrapText="1"/>
    </xf>
    <xf numFmtId="4" fontId="1" fillId="0" borderId="0" xfId="1" applyNumberFormat="1" applyFill="1" applyAlignment="1">
      <alignment horizontal="center" wrapText="1"/>
    </xf>
    <xf numFmtId="4" fontId="1" fillId="0" borderId="47" xfId="1" applyNumberFormat="1" applyFill="1" applyBorder="1" applyAlignment="1">
      <alignment wrapText="1"/>
    </xf>
    <xf numFmtId="0" fontId="0" fillId="0" borderId="47" xfId="0" applyBorder="1" applyAlignment="1">
      <alignment wrapText="1"/>
    </xf>
    <xf numFmtId="2" fontId="1" fillId="0" borderId="0" xfId="1" applyNumberFormat="1" applyFill="1" applyAlignment="1">
      <alignment horizontal="center" wrapText="1"/>
    </xf>
  </cellXfs>
  <cellStyles count="3">
    <cellStyle name="Excel Built-in Normal" xfId="1"/>
    <cellStyle name="Обычный" xfId="0" builtinId="0"/>
    <cellStyle name="Обычный_отчет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DEADA"/>
      <rgbColor rgb="00CCFFFF"/>
      <rgbColor rgb="00660066"/>
      <rgbColor rgb="00FF420E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54" sqref="D54"/>
    </sheetView>
  </sheetViews>
  <sheetFormatPr defaultRowHeight="12.75"/>
  <cols>
    <col min="1" max="1" width="13.425781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 ht="18.75" customHeight="1">
      <c r="A4" s="205" t="s">
        <v>106</v>
      </c>
      <c r="B4" s="152"/>
      <c r="C4" s="206">
        <v>113931.63</v>
      </c>
      <c r="D4" s="204"/>
      <c r="E4" s="205"/>
      <c r="F4" s="153"/>
      <c r="G4" s="212">
        <f>B4+F4</f>
        <v>0</v>
      </c>
    </row>
    <row r="5" spans="1:7">
      <c r="A5" s="154">
        <v>43132</v>
      </c>
      <c r="B5" s="155">
        <v>326.33</v>
      </c>
      <c r="C5" s="155"/>
      <c r="D5" s="156"/>
      <c r="E5" s="157"/>
      <c r="F5" s="158"/>
      <c r="G5" s="211">
        <f t="shared" ref="G5:G28" si="0">SUM(B5:F5)</f>
        <v>326.33</v>
      </c>
    </row>
    <row r="6" spans="1:7">
      <c r="A6" s="154">
        <v>43133</v>
      </c>
      <c r="B6" s="155">
        <v>12550.77</v>
      </c>
      <c r="C6" s="155"/>
      <c r="D6" s="157"/>
      <c r="E6" s="157"/>
      <c r="F6" s="159"/>
      <c r="G6" s="211">
        <f t="shared" si="0"/>
        <v>12550.77</v>
      </c>
    </row>
    <row r="7" spans="1:7">
      <c r="A7" s="154">
        <v>43136</v>
      </c>
      <c r="B7" s="155">
        <f>4952.59+1612.47+38259.34</f>
        <v>44824.399999999994</v>
      </c>
      <c r="C7" s="160">
        <f>6208.56+6035.52</f>
        <v>12244.080000000002</v>
      </c>
      <c r="D7" s="156"/>
      <c r="E7" s="155"/>
      <c r="F7" s="159"/>
      <c r="G7" s="211">
        <f t="shared" si="0"/>
        <v>57068.479999999996</v>
      </c>
    </row>
    <row r="8" spans="1:7">
      <c r="A8" s="154">
        <v>43137</v>
      </c>
      <c r="B8" s="155">
        <v>24871.39</v>
      </c>
      <c r="C8" s="160">
        <v>4579.6400000000003</v>
      </c>
      <c r="D8" s="162"/>
      <c r="E8" s="162"/>
      <c r="F8" s="159"/>
      <c r="G8" s="211">
        <f t="shared" si="0"/>
        <v>29451.03</v>
      </c>
    </row>
    <row r="9" spans="1:7">
      <c r="A9" s="161">
        <v>43138</v>
      </c>
      <c r="B9" s="155">
        <v>33975.83</v>
      </c>
      <c r="C9" s="155">
        <v>5408.63</v>
      </c>
      <c r="D9" s="162"/>
      <c r="E9" s="162"/>
      <c r="F9" s="159"/>
      <c r="G9" s="211">
        <f t="shared" si="0"/>
        <v>39384.46</v>
      </c>
    </row>
    <row r="10" spans="1:7">
      <c r="A10" s="161">
        <v>43139</v>
      </c>
      <c r="B10" s="155">
        <v>18620.71</v>
      </c>
      <c r="C10" s="160">
        <v>8435.65</v>
      </c>
      <c r="D10" s="162"/>
      <c r="E10" s="162"/>
      <c r="F10" s="159"/>
      <c r="G10" s="211">
        <f t="shared" si="0"/>
        <v>27056.36</v>
      </c>
    </row>
    <row r="11" spans="1:7">
      <c r="A11" s="161">
        <v>43140</v>
      </c>
      <c r="B11" s="155">
        <v>18364.73</v>
      </c>
      <c r="C11" s="155">
        <v>6701.91</v>
      </c>
      <c r="D11" s="162"/>
      <c r="E11" s="162"/>
      <c r="F11" s="158"/>
      <c r="G11" s="211">
        <f t="shared" si="0"/>
        <v>25066.639999999999</v>
      </c>
    </row>
    <row r="12" spans="1:7">
      <c r="A12" s="161">
        <v>43144</v>
      </c>
      <c r="B12" s="155">
        <v>20081.439999999999</v>
      </c>
      <c r="C12" s="155">
        <v>1000</v>
      </c>
      <c r="D12" s="162"/>
      <c r="E12" s="162"/>
      <c r="F12" s="158"/>
      <c r="G12" s="211">
        <f>SUM(B12:F12)</f>
        <v>21081.439999999999</v>
      </c>
    </row>
    <row r="13" spans="1:7">
      <c r="A13" s="161">
        <v>43143</v>
      </c>
      <c r="B13" s="155">
        <f>3685.64+15318.48</f>
        <v>19004.12</v>
      </c>
      <c r="C13" s="155">
        <f>10649.65+23102.36</f>
        <v>33752.01</v>
      </c>
      <c r="D13" s="162"/>
      <c r="E13" s="162"/>
      <c r="F13" s="158"/>
      <c r="G13" s="211">
        <f t="shared" si="0"/>
        <v>52756.130000000005</v>
      </c>
    </row>
    <row r="14" spans="1:7">
      <c r="A14" s="161">
        <v>43145</v>
      </c>
      <c r="B14" s="155">
        <v>12440.94</v>
      </c>
      <c r="C14" s="160">
        <v>3599.81</v>
      </c>
      <c r="D14" s="162"/>
      <c r="E14" s="162"/>
      <c r="F14" s="159"/>
      <c r="G14" s="211">
        <f t="shared" si="0"/>
        <v>16040.75</v>
      </c>
    </row>
    <row r="15" spans="1:7">
      <c r="A15" s="161">
        <v>43146</v>
      </c>
      <c r="B15" s="191">
        <v>9333.89</v>
      </c>
      <c r="C15" s="191">
        <v>3858.41</v>
      </c>
      <c r="D15" s="165"/>
      <c r="E15" s="165"/>
      <c r="F15" s="166"/>
      <c r="G15" s="211">
        <f t="shared" si="0"/>
        <v>13192.3</v>
      </c>
    </row>
    <row r="16" spans="1:7">
      <c r="A16" s="161">
        <v>43147</v>
      </c>
      <c r="B16" s="207">
        <f>18381.34</f>
        <v>18381.34</v>
      </c>
      <c r="C16" s="208">
        <v>14022.75</v>
      </c>
      <c r="D16" s="165"/>
      <c r="E16" s="165"/>
      <c r="F16" s="166"/>
      <c r="G16" s="211">
        <f t="shared" si="0"/>
        <v>32404.09</v>
      </c>
    </row>
    <row r="17" spans="1:7">
      <c r="A17" s="161">
        <v>43150</v>
      </c>
      <c r="B17" s="207">
        <f>18058.34+1843</f>
        <v>19901.34</v>
      </c>
      <c r="C17" s="208">
        <f>1842.82+10398.79</f>
        <v>12241.61</v>
      </c>
      <c r="D17" s="165"/>
      <c r="E17" s="165"/>
      <c r="F17" s="166"/>
      <c r="G17" s="211">
        <f t="shared" si="0"/>
        <v>32142.95</v>
      </c>
    </row>
    <row r="18" spans="1:7">
      <c r="A18" s="161">
        <v>43151</v>
      </c>
      <c r="B18" s="191">
        <v>7934.02</v>
      </c>
      <c r="C18" s="208"/>
      <c r="D18" s="165"/>
      <c r="E18" s="165"/>
      <c r="F18" s="166"/>
      <c r="G18" s="211">
        <f t="shared" si="0"/>
        <v>7934.02</v>
      </c>
    </row>
    <row r="19" spans="1:7">
      <c r="A19" s="161">
        <v>43152</v>
      </c>
      <c r="B19" s="191"/>
      <c r="C19" s="209">
        <v>5054.75</v>
      </c>
      <c r="D19" s="168"/>
      <c r="E19" s="165"/>
      <c r="F19" s="166"/>
      <c r="G19" s="211">
        <f t="shared" si="0"/>
        <v>5054.75</v>
      </c>
    </row>
    <row r="20" spans="1:7">
      <c r="A20" s="161">
        <v>43153</v>
      </c>
      <c r="B20" s="191">
        <v>3523.58</v>
      </c>
      <c r="C20" s="208">
        <v>4864.83</v>
      </c>
      <c r="D20" s="165"/>
      <c r="E20" s="165"/>
      <c r="F20" s="169"/>
      <c r="G20" s="211">
        <f t="shared" si="0"/>
        <v>8388.41</v>
      </c>
    </row>
    <row r="21" spans="1:7">
      <c r="A21" s="161">
        <v>43157</v>
      </c>
      <c r="B21" s="191">
        <f>1000+6355.26</f>
        <v>7355.26</v>
      </c>
      <c r="C21" s="208">
        <f>1474.26+1382.12</f>
        <v>2856.38</v>
      </c>
      <c r="D21" s="165"/>
      <c r="E21" s="165"/>
      <c r="F21" s="170"/>
      <c r="G21" s="211">
        <f t="shared" si="0"/>
        <v>10211.64</v>
      </c>
    </row>
    <row r="22" spans="1:7">
      <c r="A22" s="161">
        <v>43158</v>
      </c>
      <c r="B22" s="191">
        <v>4963.5600000000004</v>
      </c>
      <c r="C22" s="208"/>
      <c r="D22" s="165"/>
      <c r="E22" s="165"/>
      <c r="F22" s="170"/>
      <c r="G22" s="211">
        <f t="shared" si="0"/>
        <v>4963.5600000000004</v>
      </c>
    </row>
    <row r="23" spans="1:7">
      <c r="A23" s="161">
        <v>43159</v>
      </c>
      <c r="B23" s="191">
        <v>2882.12</v>
      </c>
      <c r="C23" s="208">
        <v>1468.5</v>
      </c>
      <c r="D23" s="165"/>
      <c r="E23" s="165"/>
      <c r="F23" s="170"/>
      <c r="G23" s="211">
        <f t="shared" si="0"/>
        <v>4350.62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64"/>
      <c r="C27" s="165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3"/>
    </row>
    <row r="30" spans="1:7">
      <c r="A30" s="161"/>
      <c r="B30" s="164"/>
      <c r="C30" s="165"/>
      <c r="D30" s="165"/>
      <c r="E30" s="165"/>
      <c r="F30" s="170"/>
      <c r="G30" s="213"/>
    </row>
    <row r="31" spans="1:7">
      <c r="A31" s="161"/>
      <c r="B31" s="164"/>
      <c r="C31" s="165"/>
      <c r="D31" s="165"/>
      <c r="E31" s="165"/>
      <c r="F31" s="170"/>
      <c r="G31" s="213"/>
    </row>
    <row r="32" spans="1:7">
      <c r="A32" s="161"/>
      <c r="B32" s="164"/>
      <c r="C32" s="165"/>
      <c r="D32" s="165"/>
      <c r="E32" s="165"/>
      <c r="F32" s="170"/>
      <c r="G32" s="213"/>
    </row>
    <row r="33" spans="1:7">
      <c r="A33" s="154"/>
      <c r="B33" s="164"/>
      <c r="C33" s="164"/>
      <c r="D33" s="164"/>
      <c r="E33" s="164"/>
      <c r="F33" s="170"/>
      <c r="G33" s="173"/>
    </row>
    <row r="34" spans="1:7">
      <c r="A34" s="154"/>
      <c r="B34" s="167"/>
      <c r="C34" s="167"/>
      <c r="D34" s="167"/>
      <c r="E34" s="164"/>
      <c r="F34" s="172"/>
      <c r="G34" s="173"/>
    </row>
    <row r="35" spans="1:7">
      <c r="A35" s="154"/>
      <c r="B35" s="167"/>
      <c r="C35" s="167"/>
      <c r="D35" s="167"/>
      <c r="E35" s="164"/>
      <c r="F35" s="166"/>
      <c r="G35" s="173"/>
    </row>
    <row r="36" spans="1:7">
      <c r="A36" s="173" t="s">
        <v>104</v>
      </c>
      <c r="B36" s="173">
        <f t="shared" ref="B36:G36" si="1">SUM(B5:B28)</f>
        <v>279335.76999999996</v>
      </c>
      <c r="C36" s="173">
        <f t="shared" si="1"/>
        <v>120088.96000000002</v>
      </c>
      <c r="D36" s="173">
        <f t="shared" si="1"/>
        <v>0</v>
      </c>
      <c r="E36" s="173">
        <f t="shared" si="1"/>
        <v>0</v>
      </c>
      <c r="F36" s="173">
        <f t="shared" si="1"/>
        <v>0</v>
      </c>
      <c r="G36" s="173">
        <f t="shared" si="1"/>
        <v>399424.73000000004</v>
      </c>
    </row>
    <row r="37" spans="1:7">
      <c r="A37" s="174" t="s">
        <v>130</v>
      </c>
      <c r="B37" s="175">
        <f>SUM(B36+C36)-C52</f>
        <v>398424.73</v>
      </c>
      <c r="C37" s="173"/>
      <c r="D37" s="173"/>
      <c r="E37" s="176"/>
      <c r="F37" s="177"/>
      <c r="G37" s="173"/>
    </row>
    <row r="38" spans="1:7">
      <c r="A38" s="178"/>
      <c r="B38" s="179"/>
      <c r="C38" s="164"/>
      <c r="D38" s="164"/>
      <c r="E38" s="164"/>
      <c r="F38" s="164"/>
      <c r="G38" s="173"/>
    </row>
    <row r="39" spans="1:7">
      <c r="A39" s="180"/>
      <c r="B39" s="171"/>
      <c r="C39" s="164"/>
      <c r="D39" s="164"/>
      <c r="E39" s="164"/>
      <c r="F39" s="164"/>
      <c r="G39" s="173"/>
    </row>
    <row r="40" spans="1:7" ht="15">
      <c r="A40" s="181" t="s">
        <v>131</v>
      </c>
      <c r="B40" s="182">
        <f>B37+B4+C4</f>
        <v>512356.36</v>
      </c>
      <c r="C40" s="183"/>
      <c r="D40" s="183"/>
      <c r="E40" s="183" t="s">
        <v>132</v>
      </c>
      <c r="F40" s="184">
        <f>F4+F36-F53</f>
        <v>0</v>
      </c>
      <c r="G40" s="185"/>
    </row>
    <row r="41" spans="1:7" ht="15">
      <c r="A41" s="186"/>
      <c r="B41" s="182"/>
      <c r="C41" s="183"/>
      <c r="D41" s="183"/>
      <c r="E41" s="183"/>
      <c r="F41" s="183"/>
      <c r="G41" s="185"/>
    </row>
    <row r="42" spans="1:7" ht="51">
      <c r="A42" s="187" t="s">
        <v>133</v>
      </c>
      <c r="B42" s="223" t="s">
        <v>138</v>
      </c>
      <c r="C42" s="188" t="s">
        <v>134</v>
      </c>
      <c r="D42" s="183"/>
      <c r="E42" s="183"/>
      <c r="F42" s="188" t="s">
        <v>135</v>
      </c>
      <c r="G42" s="185"/>
    </row>
    <row r="43" spans="1:7">
      <c r="A43" s="189">
        <v>43133</v>
      </c>
      <c r="B43" s="190">
        <f>3972.92+5371.2+694.23+975.06+796.37+4850+10246.5+10246.5+796.37+9736.05+3066.56+5004+12088.95+553.7+6477.68+2425.5+5371.66</f>
        <v>82673.25</v>
      </c>
      <c r="C43" s="191"/>
      <c r="D43" s="183"/>
      <c r="E43" s="192"/>
      <c r="F43" s="193"/>
      <c r="G43" s="185"/>
    </row>
    <row r="44" spans="1:7">
      <c r="A44" s="194">
        <v>43136</v>
      </c>
      <c r="B44" s="195">
        <f>794+8583.91+7774.2+2680.34+2665.74+796.37+796.37</f>
        <v>24090.93</v>
      </c>
      <c r="C44" s="191"/>
      <c r="D44" s="183"/>
      <c r="E44" s="192"/>
      <c r="F44" s="196"/>
      <c r="G44" s="185"/>
    </row>
    <row r="45" spans="1:7">
      <c r="A45" s="194">
        <v>43140</v>
      </c>
      <c r="B45" s="195">
        <f>8303.47+796.37+474.8+14483.7+3336+10246.5+2425+5371.2+796.37+975.06+3455.4+7797.11+1331+2425.5+2831.01+2939.43+13669.4</f>
        <v>81657.319999999992</v>
      </c>
      <c r="C45" s="197"/>
      <c r="D45" s="183"/>
      <c r="E45" s="192"/>
      <c r="F45" s="191"/>
      <c r="G45" s="185"/>
    </row>
    <row r="46" spans="1:7">
      <c r="A46" s="198">
        <v>43143</v>
      </c>
      <c r="B46" s="195">
        <f>6599.09+2293.17+796.37+796.37+3405.36+2736.9+796.37+796.37</f>
        <v>18220</v>
      </c>
      <c r="C46" s="191"/>
      <c r="D46" s="183"/>
      <c r="E46" s="192"/>
      <c r="F46" s="191"/>
      <c r="G46" s="185"/>
    </row>
    <row r="47" spans="1:7">
      <c r="A47" s="198">
        <v>43145</v>
      </c>
      <c r="B47" s="195">
        <f>2196.32+8488.8+3359.29+6147.9+13255+2745.11+5356.99+9028.49+796.37+2177.7</f>
        <v>53551.969999999994</v>
      </c>
      <c r="C47" s="191">
        <v>1000</v>
      </c>
      <c r="D47" s="183"/>
      <c r="E47" s="192"/>
      <c r="F47" s="191"/>
      <c r="G47" s="185"/>
    </row>
    <row r="48" spans="1:7">
      <c r="A48" s="198">
        <v>43150</v>
      </c>
      <c r="B48" s="195">
        <f>796.37+796.37+1626.29+2736.9+796.37+3405.36+2613.24</f>
        <v>12770.9</v>
      </c>
      <c r="C48" s="191"/>
      <c r="D48" s="183"/>
      <c r="E48" s="192"/>
      <c r="F48" s="191"/>
      <c r="G48" s="185"/>
    </row>
    <row r="49" spans="1:7">
      <c r="A49" s="198">
        <v>43152</v>
      </c>
      <c r="B49" s="195">
        <f>794+796.37+8197.2+7285.44+796.37+474.8+2685.6+2425+487.53+796.37+1864.8+2703.14+3121.58+2502+4558.4+11240.27+9176.9+1882.3+2649.54+2256.75+1831.2+1690.5</f>
        <v>70216.06</v>
      </c>
      <c r="C49" s="191"/>
      <c r="D49" s="183"/>
      <c r="E49" s="192"/>
      <c r="F49" s="191"/>
      <c r="G49" s="185"/>
    </row>
    <row r="50" spans="1:7">
      <c r="A50" s="198">
        <v>43158</v>
      </c>
      <c r="B50" s="195">
        <f>5371.2+6147.9+796.37+487.53+796.37+12434.4+796.37+796.37+8246.67+7334.9+13669.4+2915.71+4144+461.25+3336+4850+2540.65+10119.26+2177.7</f>
        <v>87422.049999999988</v>
      </c>
      <c r="C50" s="191"/>
      <c r="D50" s="183"/>
      <c r="E50" s="183"/>
      <c r="F50" s="191"/>
      <c r="G50" s="185"/>
    </row>
    <row r="51" spans="1:7">
      <c r="A51" s="198"/>
      <c r="B51" s="195"/>
      <c r="C51" s="191"/>
      <c r="D51" s="199" t="s">
        <v>106</v>
      </c>
      <c r="E51" s="183"/>
      <c r="F51" s="191"/>
      <c r="G51" s="185"/>
    </row>
    <row r="52" spans="1:7" ht="15.75">
      <c r="A52" s="198" t="s">
        <v>136</v>
      </c>
      <c r="B52" s="200">
        <f>SUM(B43:B51)</f>
        <v>430602.48</v>
      </c>
      <c r="C52" s="200">
        <f>SUM(C43:C51)</f>
        <v>1000</v>
      </c>
      <c r="D52" s="201"/>
      <c r="E52" s="183"/>
      <c r="F52" s="191"/>
      <c r="G52" s="185"/>
    </row>
    <row r="53" spans="1:7" ht="36.75">
      <c r="A53" s="202" t="s">
        <v>137</v>
      </c>
      <c r="B53" s="182">
        <f>B40-B52</f>
        <v>81753.88</v>
      </c>
      <c r="C53" s="200">
        <f>SUM(C44:C51)</f>
        <v>1000</v>
      </c>
      <c r="D53" s="235">
        <f>B53</f>
        <v>81753.88</v>
      </c>
      <c r="E53" s="183"/>
      <c r="F53" s="173">
        <f>SUM(F43:F52)</f>
        <v>0</v>
      </c>
      <c r="G53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4" workbookViewId="0">
      <selection activeCell="B65" sqref="B65"/>
    </sheetView>
  </sheetViews>
  <sheetFormatPr defaultRowHeight="12.75"/>
  <cols>
    <col min="1" max="1" width="12.7109375" customWidth="1"/>
    <col min="2" max="2" width="15" customWidth="1"/>
    <col min="3" max="3" width="13.7109375" customWidth="1"/>
    <col min="4" max="4" width="10.42578125" customWidth="1"/>
    <col min="5" max="5" width="11.140625" customWidth="1"/>
    <col min="6" max="6" width="12.285156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194</v>
      </c>
      <c r="F3" s="150" t="s">
        <v>129</v>
      </c>
      <c r="G3" s="211" t="s">
        <v>102</v>
      </c>
    </row>
    <row r="4" spans="1:7" ht="15.75">
      <c r="A4" s="205" t="s">
        <v>106</v>
      </c>
      <c r="B4" s="152">
        <v>71157.140000000305</v>
      </c>
      <c r="C4" s="241"/>
      <c r="D4" s="204"/>
      <c r="E4" s="242"/>
      <c r="F4" s="242"/>
      <c r="G4" s="212">
        <f>B4+F4</f>
        <v>71157.140000000305</v>
      </c>
    </row>
    <row r="5" spans="1:7">
      <c r="A5" s="154">
        <v>43619</v>
      </c>
      <c r="B5" s="155">
        <f>9422.77</f>
        <v>9422.77</v>
      </c>
      <c r="C5" s="155"/>
      <c r="D5" s="156"/>
      <c r="E5" s="157"/>
      <c r="F5" s="158"/>
      <c r="G5" s="211">
        <f t="shared" ref="G5:G36" si="0">SUM(B5:F5)</f>
        <v>9422.77</v>
      </c>
    </row>
    <row r="6" spans="1:7">
      <c r="A6" s="154">
        <v>43620</v>
      </c>
      <c r="B6" s="155">
        <v>7598.12</v>
      </c>
      <c r="C6" s="155"/>
      <c r="D6" s="157"/>
      <c r="E6" s="157"/>
      <c r="F6" s="159"/>
      <c r="G6" s="211">
        <f t="shared" si="0"/>
        <v>7598.12</v>
      </c>
    </row>
    <row r="7" spans="1:7">
      <c r="A7" s="154">
        <v>43621</v>
      </c>
      <c r="B7" s="155">
        <f>23795.61</f>
        <v>23795.61</v>
      </c>
      <c r="C7" s="160"/>
      <c r="D7" s="156"/>
      <c r="E7" s="155"/>
      <c r="F7" s="159"/>
      <c r="G7" s="211">
        <f t="shared" si="0"/>
        <v>23795.61</v>
      </c>
    </row>
    <row r="8" spans="1:7">
      <c r="A8" s="161">
        <v>43622</v>
      </c>
      <c r="B8" s="155">
        <v>19630.47</v>
      </c>
      <c r="C8" s="155">
        <v>6655.22</v>
      </c>
      <c r="D8" s="162"/>
      <c r="E8" s="162"/>
      <c r="F8" s="159"/>
      <c r="G8" s="211">
        <f t="shared" si="0"/>
        <v>26285.690000000002</v>
      </c>
    </row>
    <row r="9" spans="1:7">
      <c r="A9" s="161">
        <v>43623</v>
      </c>
      <c r="B9" s="155">
        <v>24021.42</v>
      </c>
      <c r="C9" s="155">
        <v>4682.8900000000003</v>
      </c>
      <c r="D9" s="162"/>
      <c r="E9" s="162"/>
      <c r="F9" s="159"/>
      <c r="G9" s="211">
        <f t="shared" si="0"/>
        <v>28704.309999999998</v>
      </c>
    </row>
    <row r="10" spans="1:7">
      <c r="A10" s="161">
        <v>43626</v>
      </c>
      <c r="B10" s="155">
        <f>26051.29+9730.66</f>
        <v>35781.949999999997</v>
      </c>
      <c r="C10" s="160">
        <f>2828.22+4351.12</f>
        <v>7179.34</v>
      </c>
      <c r="D10" s="162"/>
      <c r="E10" s="162"/>
      <c r="F10" s="159"/>
      <c r="G10" s="211">
        <f t="shared" si="0"/>
        <v>42961.289999999994</v>
      </c>
    </row>
    <row r="11" spans="1:7">
      <c r="A11" s="161">
        <v>43627</v>
      </c>
      <c r="B11" s="155">
        <v>20564.439999999999</v>
      </c>
      <c r="C11" s="155"/>
      <c r="D11" s="162"/>
      <c r="E11" s="162"/>
      <c r="F11" s="158"/>
      <c r="G11" s="211">
        <f t="shared" si="0"/>
        <v>20564.439999999999</v>
      </c>
    </row>
    <row r="12" spans="1:7">
      <c r="A12" s="161">
        <v>43629</v>
      </c>
      <c r="B12" s="155">
        <v>26460.71</v>
      </c>
      <c r="C12" s="155">
        <v>9137.32</v>
      </c>
      <c r="D12" s="162"/>
      <c r="E12" s="162"/>
      <c r="F12" s="158"/>
      <c r="G12" s="211">
        <f t="shared" si="0"/>
        <v>35598.03</v>
      </c>
    </row>
    <row r="13" spans="1:7">
      <c r="A13" s="161">
        <v>43630</v>
      </c>
      <c r="B13" s="155">
        <v>23764.33</v>
      </c>
      <c r="C13" s="155">
        <v>1305.33</v>
      </c>
      <c r="D13" s="163"/>
      <c r="E13" s="162"/>
      <c r="F13" s="158"/>
      <c r="G13" s="211">
        <f t="shared" si="0"/>
        <v>25069.660000000003</v>
      </c>
    </row>
    <row r="14" spans="1:7">
      <c r="A14" s="161">
        <v>43633</v>
      </c>
      <c r="B14" s="155">
        <f>8267.12+25310.66</f>
        <v>33577.78</v>
      </c>
      <c r="C14" s="155">
        <f>7940.78+1414.11</f>
        <v>9354.89</v>
      </c>
      <c r="D14" s="162"/>
      <c r="E14" s="162"/>
      <c r="F14" s="158"/>
      <c r="G14" s="211">
        <f t="shared" si="0"/>
        <v>42932.67</v>
      </c>
    </row>
    <row r="15" spans="1:7">
      <c r="A15" s="161">
        <v>43634</v>
      </c>
      <c r="B15" s="155">
        <v>10061.94</v>
      </c>
      <c r="C15" s="160"/>
      <c r="D15" s="162"/>
      <c r="E15" s="162"/>
      <c r="F15" s="159"/>
      <c r="G15" s="211">
        <f t="shared" si="0"/>
        <v>10061.94</v>
      </c>
    </row>
    <row r="16" spans="1:7">
      <c r="A16" s="161">
        <v>43635</v>
      </c>
      <c r="B16" s="191">
        <v>7456.23</v>
      </c>
      <c r="C16" s="191"/>
      <c r="D16" s="165"/>
      <c r="E16" s="165"/>
      <c r="F16" s="166"/>
      <c r="G16" s="211">
        <f t="shared" si="0"/>
        <v>7456.23</v>
      </c>
    </row>
    <row r="17" spans="1:7">
      <c r="A17" s="161">
        <v>43636</v>
      </c>
      <c r="B17" s="207">
        <v>4568.67</v>
      </c>
      <c r="C17" s="208">
        <v>3372.11</v>
      </c>
      <c r="D17" s="165"/>
      <c r="E17" s="165"/>
      <c r="F17" s="166"/>
      <c r="G17" s="211">
        <f t="shared" si="0"/>
        <v>7940.7800000000007</v>
      </c>
    </row>
    <row r="18" spans="1:7">
      <c r="A18" s="161">
        <v>43637</v>
      </c>
      <c r="B18" s="207">
        <v>6360.06</v>
      </c>
      <c r="C18" s="208">
        <v>1958.2</v>
      </c>
      <c r="D18" s="165"/>
      <c r="E18" s="165"/>
      <c r="F18" s="166"/>
      <c r="G18" s="211">
        <f t="shared" si="0"/>
        <v>8318.26</v>
      </c>
    </row>
    <row r="19" spans="1:7">
      <c r="A19" s="161">
        <v>43640</v>
      </c>
      <c r="B19" s="191">
        <f>5275.72+5759.78</f>
        <v>11035.5</v>
      </c>
      <c r="C19" s="208">
        <v>652.66999999999996</v>
      </c>
      <c r="D19" s="165"/>
      <c r="E19" s="165"/>
      <c r="F19" s="166"/>
      <c r="G19" s="211">
        <f t="shared" si="0"/>
        <v>11688.17</v>
      </c>
    </row>
    <row r="20" spans="1:7">
      <c r="A20" s="161">
        <v>43641</v>
      </c>
      <c r="B20" s="191">
        <v>8549.92</v>
      </c>
      <c r="C20" s="209"/>
      <c r="D20" s="168"/>
      <c r="E20" s="165"/>
      <c r="F20" s="166"/>
      <c r="G20" s="211">
        <f t="shared" si="0"/>
        <v>8549.92</v>
      </c>
    </row>
    <row r="21" spans="1:7">
      <c r="A21" s="161">
        <v>43642</v>
      </c>
      <c r="B21" s="191">
        <v>4709.8900000000003</v>
      </c>
      <c r="C21" s="208">
        <v>1522.89</v>
      </c>
      <c r="D21" s="165"/>
      <c r="E21" s="165"/>
      <c r="F21" s="169"/>
      <c r="G21" s="211">
        <f t="shared" si="0"/>
        <v>6232.7800000000007</v>
      </c>
    </row>
    <row r="22" spans="1:7">
      <c r="A22" s="161">
        <v>43643</v>
      </c>
      <c r="B22" s="191">
        <v>2163.33</v>
      </c>
      <c r="C22" s="208"/>
      <c r="D22" s="165"/>
      <c r="E22" s="165"/>
      <c r="F22" s="170"/>
      <c r="G22" s="211">
        <f t="shared" si="0"/>
        <v>2163.33</v>
      </c>
    </row>
    <row r="23" spans="1:7">
      <c r="A23" s="161">
        <v>43644</v>
      </c>
      <c r="B23" s="191">
        <v>870.22</v>
      </c>
      <c r="C23" s="208">
        <v>3812.96</v>
      </c>
      <c r="D23" s="165"/>
      <c r="E23" s="165"/>
      <c r="F23" s="170"/>
      <c r="G23" s="211">
        <f t="shared" si="0"/>
        <v>4683.18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280393.36</v>
      </c>
      <c r="C37" s="173">
        <f t="shared" si="1"/>
        <v>49633.819999999992</v>
      </c>
      <c r="D37" s="173">
        <f t="shared" si="1"/>
        <v>0</v>
      </c>
      <c r="E37" s="173">
        <f t="shared" si="1"/>
        <v>0</v>
      </c>
      <c r="F37" s="244">
        <f>SUM(F5:F29)</f>
        <v>0</v>
      </c>
      <c r="G37" s="173">
        <f t="shared" si="1"/>
        <v>330027.18</v>
      </c>
    </row>
    <row r="38" spans="1:7" ht="20.45" customHeight="1">
      <c r="A38" s="468" t="s">
        <v>152</v>
      </c>
      <c r="B38" s="175">
        <f>SUM(B37+C37)-C53</f>
        <v>326734.18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397891.3200000003</v>
      </c>
      <c r="C41" s="183"/>
      <c r="D41" s="183"/>
      <c r="E41" s="183"/>
      <c r="F41" s="392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>
        <v>43623</v>
      </c>
      <c r="B44" s="190">
        <f>1980+4981.83+12629.1+4183.2+2253.5+1980+6260+556.52+8419.4+1051.5+5830+5026.04+4543+556.52+556.52+671.6+3150+6522.4+5228.4+19184.34+1350+556.52+4805.6+556.52+6630.61+1360.1</f>
        <v>110823.22</v>
      </c>
      <c r="C44" s="243"/>
      <c r="D44" s="247"/>
      <c r="E44" s="192"/>
      <c r="F44" s="193"/>
      <c r="G44" s="185"/>
    </row>
    <row r="45" spans="1:7" ht="15" customHeight="1">
      <c r="A45" s="194">
        <v>43629</v>
      </c>
      <c r="B45" s="195"/>
      <c r="C45" s="251">
        <f>1958+1196.56</f>
        <v>3154.56</v>
      </c>
      <c r="D45" s="247"/>
      <c r="E45" s="192"/>
      <c r="F45" s="196"/>
      <c r="G45" s="185"/>
    </row>
    <row r="46" spans="1:7">
      <c r="A46" s="194">
        <v>43630</v>
      </c>
      <c r="B46" s="195">
        <f>6314.55+4805.6+2700+556.52+3240+556.52+6590.2+671.6+556.52+5192.59+1195+556.52+4183.2+1800+6559.29+1195+2599+1980</f>
        <v>51252.11</v>
      </c>
      <c r="C46" s="252"/>
      <c r="D46" s="247"/>
      <c r="E46" s="192"/>
      <c r="F46" s="191"/>
      <c r="G46" s="185"/>
    </row>
    <row r="47" spans="1:7">
      <c r="A47" s="198">
        <v>43633</v>
      </c>
      <c r="B47" s="195"/>
      <c r="C47" s="253">
        <f>69.22+69.22</f>
        <v>138.44</v>
      </c>
      <c r="D47" s="247"/>
      <c r="E47" s="192"/>
      <c r="F47" s="191"/>
      <c r="G47" s="185"/>
    </row>
    <row r="48" spans="1:7">
      <c r="A48" s="198">
        <v>43636</v>
      </c>
      <c r="B48" s="195">
        <f>2340+4183.2+6914.9+556.52+556.52+1440+4620+6122.3+7104.75+556.52+14733.95+1800+15015.5+537.28+1779.38+19180.5+3240+10921.95+6688.2+556.52+7553.13+3264.55+4543</f>
        <v>124208.67000000001</v>
      </c>
      <c r="C48" s="251"/>
      <c r="D48" s="247"/>
      <c r="E48" s="192"/>
      <c r="F48" s="191"/>
      <c r="G48" s="185"/>
    </row>
    <row r="49" spans="1:7">
      <c r="A49" s="198">
        <v>43642</v>
      </c>
      <c r="B49" s="195">
        <f>2970+4780+3060+3660+6007+15476.11+4648+2160.8+12966.44+4543+1419.5+1500.8+556.52+374.51+288.97+288.97+6314.55+8419.4+1980+5981.3</f>
        <v>87395.87000000001</v>
      </c>
      <c r="C49" s="251"/>
      <c r="D49" s="247"/>
      <c r="E49" s="192"/>
      <c r="F49" s="191"/>
      <c r="G49" s="185"/>
    </row>
    <row r="50" spans="1:7">
      <c r="A50" s="198">
        <v>43644</v>
      </c>
      <c r="B50" s="195">
        <f>978.47+1530+8176+288.97+274.32+4719+1195+1411.92+600.7</f>
        <v>19174.38</v>
      </c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>
      <c r="A52" s="198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</f>
        <v>392854.25</v>
      </c>
      <c r="C53" s="246">
        <f>SUM(C44:C52)</f>
        <v>3293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5037.070000000298</v>
      </c>
      <c r="C54" s="246"/>
      <c r="D54" s="250">
        <f>B54</f>
        <v>5037.070000000298</v>
      </c>
      <c r="E54" s="183"/>
      <c r="F54" s="173">
        <f>SUM(F44:F53)</f>
        <v>0</v>
      </c>
      <c r="G54" s="185"/>
    </row>
    <row r="57" spans="1:7">
      <c r="D57" s="4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workbookViewId="0">
      <selection activeCell="C24" sqref="C24"/>
    </sheetView>
  </sheetViews>
  <sheetFormatPr defaultRowHeight="12.75"/>
  <cols>
    <col min="1" max="1" width="10" customWidth="1"/>
    <col min="2" max="2" width="15" customWidth="1"/>
    <col min="3" max="3" width="13.7109375" customWidth="1"/>
    <col min="4" max="4" width="10.42578125" customWidth="1"/>
    <col min="5" max="5" width="11.140625" customWidth="1"/>
    <col min="6" max="6" width="11.71093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153</v>
      </c>
      <c r="F3" s="150" t="s">
        <v>129</v>
      </c>
      <c r="G3" s="211" t="s">
        <v>102</v>
      </c>
    </row>
    <row r="4" spans="1:7" ht="15.75">
      <c r="A4" s="205" t="s">
        <v>106</v>
      </c>
      <c r="B4" s="152">
        <v>89275.260000000242</v>
      </c>
      <c r="C4" s="241"/>
      <c r="D4" s="204"/>
      <c r="E4" s="242"/>
      <c r="F4" s="242"/>
      <c r="G4" s="212">
        <f>B4+F4</f>
        <v>89275.260000000242</v>
      </c>
    </row>
    <row r="5" spans="1:7">
      <c r="A5" s="154">
        <v>43588</v>
      </c>
      <c r="B5" s="155">
        <v>2153.8000000000002</v>
      </c>
      <c r="C5" s="155"/>
      <c r="D5" s="156"/>
      <c r="E5" s="157"/>
      <c r="F5" s="158"/>
      <c r="G5" s="211">
        <f t="shared" ref="G5:G36" si="0">SUM(B5:F5)</f>
        <v>2153.8000000000002</v>
      </c>
    </row>
    <row r="6" spans="1:7">
      <c r="A6" s="154">
        <v>43592</v>
      </c>
      <c r="B6" s="155">
        <v>8010</v>
      </c>
      <c r="C6" s="155"/>
      <c r="D6" s="157"/>
      <c r="E6" s="157"/>
      <c r="F6" s="159"/>
      <c r="G6" s="211">
        <f t="shared" si="0"/>
        <v>8010</v>
      </c>
    </row>
    <row r="7" spans="1:7">
      <c r="A7" s="154">
        <v>43593</v>
      </c>
      <c r="B7" s="155">
        <v>32327.119999999999</v>
      </c>
      <c r="C7" s="160">
        <v>2759</v>
      </c>
      <c r="D7" s="156"/>
      <c r="E7" s="155"/>
      <c r="F7" s="159"/>
      <c r="G7" s="211">
        <f t="shared" si="0"/>
        <v>35086.119999999995</v>
      </c>
    </row>
    <row r="8" spans="1:7">
      <c r="A8" s="161">
        <v>43595</v>
      </c>
      <c r="B8" s="155">
        <v>32422.7</v>
      </c>
      <c r="C8" s="155"/>
      <c r="D8" s="162"/>
      <c r="E8" s="162"/>
      <c r="F8" s="159"/>
      <c r="G8" s="211">
        <f t="shared" si="0"/>
        <v>32422.7</v>
      </c>
    </row>
    <row r="9" spans="1:7">
      <c r="A9" s="161">
        <v>43598</v>
      </c>
      <c r="B9" s="155">
        <f>11494.35+5400.47</f>
        <v>16894.82</v>
      </c>
      <c r="C9" s="155">
        <f>6141+7796.4</f>
        <v>13937.4</v>
      </c>
      <c r="D9" s="162"/>
      <c r="E9" s="162"/>
      <c r="F9" s="159"/>
      <c r="G9" s="211">
        <f t="shared" si="0"/>
        <v>30832.22</v>
      </c>
    </row>
    <row r="10" spans="1:7">
      <c r="A10" s="161">
        <v>43599</v>
      </c>
      <c r="B10" s="155">
        <v>29941.42</v>
      </c>
      <c r="C10" s="160"/>
      <c r="D10" s="162"/>
      <c r="E10" s="162"/>
      <c r="F10" s="159"/>
      <c r="G10" s="211">
        <f t="shared" si="0"/>
        <v>29941.42</v>
      </c>
    </row>
    <row r="11" spans="1:7">
      <c r="A11" s="161">
        <v>43600</v>
      </c>
      <c r="B11" s="155">
        <v>41636.85</v>
      </c>
      <c r="C11" s="155">
        <v>9598.65</v>
      </c>
      <c r="D11" s="162"/>
      <c r="E11" s="162"/>
      <c r="F11" s="158"/>
      <c r="G11" s="211">
        <f t="shared" si="0"/>
        <v>51235.5</v>
      </c>
    </row>
    <row r="12" spans="1:7">
      <c r="A12" s="161">
        <v>43601</v>
      </c>
      <c r="B12" s="155">
        <v>23758.55</v>
      </c>
      <c r="C12" s="155">
        <v>6141</v>
      </c>
      <c r="D12" s="162"/>
      <c r="E12" s="162"/>
      <c r="F12" s="158"/>
      <c r="G12" s="211">
        <f t="shared" si="0"/>
        <v>29899.55</v>
      </c>
    </row>
    <row r="13" spans="1:7">
      <c r="A13" s="161">
        <v>43602</v>
      </c>
      <c r="B13" s="155">
        <v>8530.65</v>
      </c>
      <c r="C13" s="155">
        <v>3026</v>
      </c>
      <c r="D13" s="163"/>
      <c r="E13" s="162"/>
      <c r="F13" s="158"/>
      <c r="G13" s="211">
        <f t="shared" si="0"/>
        <v>11556.65</v>
      </c>
    </row>
    <row r="14" spans="1:7">
      <c r="A14" s="161">
        <v>43605</v>
      </c>
      <c r="B14" s="155">
        <f>15231.95+5010.7</f>
        <v>20242.650000000001</v>
      </c>
      <c r="C14" s="155">
        <v>4311.5600000000004</v>
      </c>
      <c r="D14" s="162"/>
      <c r="E14" s="162"/>
      <c r="F14" s="158"/>
      <c r="G14" s="211">
        <f t="shared" si="0"/>
        <v>24554.210000000003</v>
      </c>
    </row>
    <row r="15" spans="1:7">
      <c r="A15" s="161">
        <v>43606</v>
      </c>
      <c r="B15" s="155">
        <v>12208.62</v>
      </c>
      <c r="C15" s="160">
        <v>934.5</v>
      </c>
      <c r="D15" s="162"/>
      <c r="E15" s="162"/>
      <c r="F15" s="159"/>
      <c r="G15" s="211">
        <f t="shared" si="0"/>
        <v>13143.12</v>
      </c>
    </row>
    <row r="16" spans="1:7">
      <c r="A16" s="161">
        <v>43607</v>
      </c>
      <c r="B16" s="191">
        <v>22586.22</v>
      </c>
      <c r="C16" s="191">
        <v>2844.04</v>
      </c>
      <c r="D16" s="165"/>
      <c r="E16" s="165"/>
      <c r="F16" s="166"/>
      <c r="G16" s="211">
        <f t="shared" si="0"/>
        <v>25430.260000000002</v>
      </c>
    </row>
    <row r="17" spans="1:7">
      <c r="A17" s="161">
        <v>43608</v>
      </c>
      <c r="B17" s="207">
        <v>13617.98</v>
      </c>
      <c r="C17" s="208">
        <v>9298.94</v>
      </c>
      <c r="D17" s="165"/>
      <c r="E17" s="165"/>
      <c r="F17" s="166"/>
      <c r="G17" s="211">
        <f t="shared" si="0"/>
        <v>22916.92</v>
      </c>
    </row>
    <row r="18" spans="1:7">
      <c r="A18" s="161">
        <v>43609</v>
      </c>
      <c r="B18" s="207">
        <v>7447.56</v>
      </c>
      <c r="C18" s="208">
        <v>1028.44</v>
      </c>
      <c r="D18" s="165"/>
      <c r="E18" s="165"/>
      <c r="F18" s="166"/>
      <c r="G18" s="211">
        <f t="shared" si="0"/>
        <v>8476</v>
      </c>
    </row>
    <row r="19" spans="1:7">
      <c r="A19" s="161">
        <v>43612</v>
      </c>
      <c r="B19" s="191">
        <f>6055.14+1740.44</f>
        <v>7795.58</v>
      </c>
      <c r="C19" s="208"/>
      <c r="D19" s="165"/>
      <c r="E19" s="165"/>
      <c r="F19" s="166"/>
      <c r="G19" s="211">
        <f t="shared" si="0"/>
        <v>7795.58</v>
      </c>
    </row>
    <row r="20" spans="1:7">
      <c r="A20" s="161">
        <v>43613</v>
      </c>
      <c r="B20" s="191">
        <v>10062.280000000001</v>
      </c>
      <c r="C20" s="209"/>
      <c r="D20" s="168"/>
      <c r="E20" s="165"/>
      <c r="F20" s="166"/>
      <c r="G20" s="211">
        <f t="shared" si="0"/>
        <v>10062.280000000001</v>
      </c>
    </row>
    <row r="21" spans="1:7">
      <c r="A21" s="161">
        <v>43614</v>
      </c>
      <c r="B21" s="191">
        <v>4361</v>
      </c>
      <c r="C21" s="208"/>
      <c r="D21" s="165"/>
      <c r="E21" s="165"/>
      <c r="F21" s="169"/>
      <c r="G21" s="211">
        <f t="shared" si="0"/>
        <v>4361</v>
      </c>
    </row>
    <row r="22" spans="1:7">
      <c r="A22" s="161">
        <v>43615</v>
      </c>
      <c r="B22" s="191">
        <v>8301.11</v>
      </c>
      <c r="C22" s="208">
        <v>1437.35</v>
      </c>
      <c r="D22" s="165"/>
      <c r="E22" s="165"/>
      <c r="F22" s="170"/>
      <c r="G22" s="211">
        <f t="shared" si="0"/>
        <v>9738.4600000000009</v>
      </c>
    </row>
    <row r="23" spans="1:7">
      <c r="A23" s="161">
        <v>43616</v>
      </c>
      <c r="B23" s="191">
        <v>2617.59</v>
      </c>
      <c r="C23" s="208"/>
      <c r="D23" s="165"/>
      <c r="E23" s="165"/>
      <c r="F23" s="170"/>
      <c r="G23" s="211">
        <f t="shared" si="0"/>
        <v>2617.59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304916.5</v>
      </c>
      <c r="C37" s="173">
        <f t="shared" si="1"/>
        <v>55316.880000000005</v>
      </c>
      <c r="D37" s="173">
        <f t="shared" si="1"/>
        <v>0</v>
      </c>
      <c r="E37" s="173">
        <f t="shared" si="1"/>
        <v>0</v>
      </c>
      <c r="F37" s="244">
        <f>SUM(F5:F29)</f>
        <v>0</v>
      </c>
      <c r="G37" s="173">
        <f t="shared" si="1"/>
        <v>360233.38000000006</v>
      </c>
    </row>
    <row r="38" spans="1:7">
      <c r="A38" s="174" t="s">
        <v>152</v>
      </c>
      <c r="B38" s="175">
        <f>SUM(B37+C37)-C53</f>
        <v>360233.38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449508.64000000025</v>
      </c>
      <c r="C41" s="183"/>
      <c r="D41" s="183"/>
      <c r="E41" s="183"/>
      <c r="F41" s="184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>
        <v>43600</v>
      </c>
      <c r="B44" s="190">
        <f>4562.5+692.81+692.81+2117.02+7893.33+4183.2+6911.08+692.81+4543+692.81+1195+6168.84+1313+1300+2502.36+312+12629.1+2516.04+402.96+2091.6+2117.02+15620.8+2250+4458.8+692.81+5310+1402+7777.86+268.64+5202.82+5980+990+8419.4+1430+4209.7+1922.24+692.81</f>
        <v>132157.16999999998</v>
      </c>
      <c r="C44" s="243"/>
      <c r="D44" s="247"/>
      <c r="E44" s="192"/>
      <c r="F44" s="193"/>
      <c r="G44" s="185"/>
    </row>
    <row r="45" spans="1:7" ht="15" customHeight="1">
      <c r="A45" s="194">
        <v>43609</v>
      </c>
      <c r="B45" s="195">
        <f>8419.4+1980+692.81+692.81+6160.3+8419.4+17699.8+4183.2+2271.5+9027.12+1226.75+6432.34+2883.36+1195+10229.6+6590+14460.62+692.81+1802.1+692.81+12787+4500+692.81+692.81+692.81+6260+2117.02+8419.4+402.96</f>
        <v>142316.53999999998</v>
      </c>
      <c r="C45" s="251"/>
      <c r="D45" s="247"/>
      <c r="E45" s="192"/>
      <c r="F45" s="196"/>
      <c r="G45" s="185"/>
    </row>
    <row r="46" spans="1:7">
      <c r="A46" s="194">
        <v>43615</v>
      </c>
      <c r="B46" s="195">
        <f>12629.1+402.96+692.81+6590+4860+15335+9086.74+4543+2893.45+692.81+765.05+8419.4+1195+1506.36+1980+765.05+4183.2+12787+13858.05</f>
        <v>103184.98</v>
      </c>
      <c r="C46" s="252"/>
      <c r="D46" s="247"/>
      <c r="E46" s="192"/>
      <c r="F46" s="191"/>
      <c r="G46" s="185"/>
    </row>
    <row r="47" spans="1:7">
      <c r="A47" s="198">
        <v>43616</v>
      </c>
      <c r="B47" s="195">
        <f>692.81</f>
        <v>692.81</v>
      </c>
      <c r="C47" s="253"/>
      <c r="D47" s="247"/>
      <c r="E47" s="192"/>
      <c r="F47" s="191"/>
      <c r="G47" s="185"/>
    </row>
    <row r="48" spans="1:7">
      <c r="A48" s="198"/>
      <c r="B48" s="195"/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8"/>
      <c r="B50" s="195"/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>
      <c r="A52" s="198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</f>
        <v>378351.49999999994</v>
      </c>
      <c r="C53" s="246">
        <f>SUM(C44:C52)</f>
        <v>0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71157.140000000305</v>
      </c>
      <c r="C54" s="246"/>
      <c r="D54" s="250">
        <f>B54</f>
        <v>71157.140000000305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8" workbookViewId="0">
      <selection activeCell="B50" sqref="B50"/>
    </sheetView>
  </sheetViews>
  <sheetFormatPr defaultRowHeight="12.75"/>
  <cols>
    <col min="1" max="1" width="11.28515625" customWidth="1"/>
    <col min="2" max="2" width="11.85546875" customWidth="1"/>
    <col min="3" max="5" width="11.71093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160377.81000000023</v>
      </c>
      <c r="D4" s="413"/>
      <c r="E4" s="205"/>
      <c r="F4" s="153"/>
      <c r="G4" s="212">
        <f>B4+F4</f>
        <v>0</v>
      </c>
    </row>
    <row r="5" spans="1:7">
      <c r="A5" s="154">
        <v>43556</v>
      </c>
      <c r="B5" s="429">
        <f>3521.85+522.13</f>
        <v>4043.98</v>
      </c>
      <c r="C5" s="430"/>
      <c r="D5" s="156"/>
      <c r="E5" s="157"/>
      <c r="F5" s="158"/>
      <c r="G5" s="211">
        <f t="shared" ref="G5:G36" si="0">SUM(B5:F5)</f>
        <v>4043.98</v>
      </c>
    </row>
    <row r="6" spans="1:7">
      <c r="A6" s="154">
        <v>43557</v>
      </c>
      <c r="B6" s="429">
        <v>7284.47</v>
      </c>
      <c r="C6" s="429"/>
      <c r="D6" s="157"/>
      <c r="E6" s="157"/>
      <c r="F6" s="159"/>
      <c r="G6" s="211">
        <f t="shared" si="0"/>
        <v>7284.47</v>
      </c>
    </row>
    <row r="7" spans="1:7">
      <c r="A7" s="154">
        <v>43558</v>
      </c>
      <c r="B7" s="429">
        <f>45512.09</f>
        <v>45512.09</v>
      </c>
      <c r="C7" s="431">
        <v>4992.8999999999996</v>
      </c>
      <c r="D7" s="156"/>
      <c r="E7" s="155"/>
      <c r="F7" s="159"/>
      <c r="G7" s="211">
        <f t="shared" si="0"/>
        <v>50504.99</v>
      </c>
    </row>
    <row r="8" spans="1:7">
      <c r="A8" s="154">
        <v>43559</v>
      </c>
      <c r="B8" s="429">
        <v>20010.759999999998</v>
      </c>
      <c r="C8" s="431">
        <v>4895</v>
      </c>
      <c r="D8" s="162"/>
      <c r="E8" s="162"/>
      <c r="F8" s="159"/>
      <c r="G8" s="211">
        <f t="shared" si="0"/>
        <v>24905.759999999998</v>
      </c>
    </row>
    <row r="9" spans="1:7">
      <c r="A9" s="161">
        <v>43560</v>
      </c>
      <c r="B9" s="429">
        <v>18161.54</v>
      </c>
      <c r="C9" s="429">
        <v>3206.23</v>
      </c>
      <c r="D9" s="162"/>
      <c r="E9" s="162"/>
      <c r="F9" s="159"/>
      <c r="G9" s="211">
        <f t="shared" si="0"/>
        <v>21367.77</v>
      </c>
    </row>
    <row r="10" spans="1:7">
      <c r="A10" s="161">
        <v>43563</v>
      </c>
      <c r="B10" s="429">
        <f>7284.5+37035.57</f>
        <v>44320.07</v>
      </c>
      <c r="C10" s="431">
        <v>2447.5</v>
      </c>
      <c r="D10" s="162"/>
      <c r="E10" s="162"/>
      <c r="F10" s="159"/>
      <c r="G10" s="211">
        <f t="shared" si="0"/>
        <v>46767.57</v>
      </c>
    </row>
    <row r="11" spans="1:7">
      <c r="A11" s="161">
        <v>43564</v>
      </c>
      <c r="B11" s="429">
        <v>10661.71</v>
      </c>
      <c r="C11" s="431"/>
      <c r="D11" s="162"/>
      <c r="E11" s="162"/>
      <c r="F11" s="158"/>
      <c r="G11" s="211">
        <f t="shared" si="0"/>
        <v>10661.71</v>
      </c>
    </row>
    <row r="12" spans="1:7">
      <c r="A12" s="161">
        <v>43565</v>
      </c>
      <c r="B12" s="429">
        <v>11748</v>
      </c>
      <c r="C12" s="429">
        <v>8027.8</v>
      </c>
      <c r="D12" s="162"/>
      <c r="E12" s="162"/>
      <c r="F12" s="158"/>
      <c r="G12" s="211">
        <f t="shared" si="0"/>
        <v>19775.8</v>
      </c>
    </row>
    <row r="13" spans="1:7">
      <c r="A13" s="456">
        <v>43566</v>
      </c>
      <c r="B13" s="457">
        <v>11552.9</v>
      </c>
      <c r="C13" s="457">
        <v>6265.6</v>
      </c>
      <c r="D13" s="163"/>
      <c r="E13" s="162"/>
      <c r="F13" s="158"/>
      <c r="G13" s="211">
        <f t="shared" si="0"/>
        <v>17818.5</v>
      </c>
    </row>
    <row r="14" spans="1:7">
      <c r="A14" s="462">
        <v>43567</v>
      </c>
      <c r="B14" s="459">
        <v>16844.439999999999</v>
      </c>
      <c r="C14" s="459">
        <v>7714.52</v>
      </c>
      <c r="D14" s="455"/>
      <c r="E14" s="162"/>
      <c r="F14" s="158"/>
      <c r="G14" s="211">
        <f t="shared" si="0"/>
        <v>24558.959999999999</v>
      </c>
    </row>
    <row r="15" spans="1:7">
      <c r="A15" s="458">
        <v>43570</v>
      </c>
      <c r="B15" s="430">
        <f>31636.98+9677.42</f>
        <v>41314.400000000001</v>
      </c>
      <c r="C15" s="430">
        <f>2643.3+5413.87</f>
        <v>8057.17</v>
      </c>
      <c r="D15" s="162"/>
      <c r="E15" s="162"/>
      <c r="F15" s="159"/>
      <c r="G15" s="211">
        <f>SUM(D15:F15)</f>
        <v>0</v>
      </c>
    </row>
    <row r="16" spans="1:7">
      <c r="A16" s="161">
        <v>43571</v>
      </c>
      <c r="B16" s="191">
        <v>25894.55</v>
      </c>
      <c r="C16" s="191">
        <v>3441.19</v>
      </c>
      <c r="D16" s="208"/>
      <c r="E16" s="165"/>
      <c r="F16" s="166"/>
      <c r="G16" s="211">
        <f t="shared" si="0"/>
        <v>29335.739999999998</v>
      </c>
    </row>
    <row r="17" spans="1:10">
      <c r="A17" s="161">
        <v>43572</v>
      </c>
      <c r="B17" s="436">
        <v>9202.6</v>
      </c>
      <c r="C17" s="208">
        <v>3132.8</v>
      </c>
      <c r="D17" s="208"/>
      <c r="E17" s="165"/>
      <c r="F17" s="166"/>
      <c r="G17" s="211">
        <f t="shared" si="0"/>
        <v>12335.400000000001</v>
      </c>
    </row>
    <row r="18" spans="1:10">
      <c r="A18" s="161">
        <v>43573</v>
      </c>
      <c r="B18" s="207">
        <v>11204.66</v>
      </c>
      <c r="C18" s="208">
        <v>2545.4</v>
      </c>
      <c r="D18" s="208"/>
      <c r="E18" s="165"/>
      <c r="F18" s="166"/>
      <c r="G18" s="211">
        <f t="shared" si="0"/>
        <v>13750.06</v>
      </c>
      <c r="J18">
        <v>979</v>
      </c>
    </row>
    <row r="19" spans="1:10">
      <c r="A19" s="161">
        <v>43574</v>
      </c>
      <c r="B19" s="207">
        <v>9398.4</v>
      </c>
      <c r="C19" s="208">
        <v>1762.2</v>
      </c>
      <c r="D19" s="208"/>
      <c r="E19" s="165"/>
      <c r="F19" s="166"/>
      <c r="G19" s="211">
        <f t="shared" si="0"/>
        <v>11160.6</v>
      </c>
      <c r="J19">
        <v>1664.3</v>
      </c>
    </row>
    <row r="20" spans="1:10">
      <c r="A20" s="161">
        <v>43577</v>
      </c>
      <c r="B20" s="191">
        <f>3720.2+8580.3</f>
        <v>12300.5</v>
      </c>
      <c r="C20" s="209"/>
      <c r="D20" s="168"/>
      <c r="E20" s="165"/>
      <c r="F20" s="166"/>
      <c r="G20" s="211">
        <f t="shared" si="0"/>
        <v>12300.5</v>
      </c>
      <c r="J20">
        <v>783.2</v>
      </c>
    </row>
    <row r="21" spans="1:10">
      <c r="A21" s="161">
        <v>43578</v>
      </c>
      <c r="B21" s="191">
        <v>5273.43</v>
      </c>
      <c r="C21" s="208"/>
      <c r="D21" s="165"/>
      <c r="E21" s="165"/>
      <c r="F21" s="169"/>
      <c r="G21" s="211">
        <f t="shared" si="0"/>
        <v>5273.43</v>
      </c>
      <c r="J21">
        <v>783.2</v>
      </c>
    </row>
    <row r="22" spans="1:10">
      <c r="A22" s="161">
        <v>43579</v>
      </c>
      <c r="B22" s="191">
        <v>6743.1</v>
      </c>
      <c r="C22" s="208">
        <v>2643.38</v>
      </c>
      <c r="D22" s="165"/>
      <c r="E22" s="165"/>
      <c r="F22" s="170"/>
      <c r="G22" s="211">
        <f t="shared" si="0"/>
        <v>9386.48</v>
      </c>
      <c r="J22">
        <v>1414.66</v>
      </c>
    </row>
    <row r="23" spans="1:10">
      <c r="A23" s="161">
        <v>43580</v>
      </c>
      <c r="B23" s="191">
        <v>5702.34</v>
      </c>
      <c r="C23" s="208">
        <v>2414.61</v>
      </c>
      <c r="D23" s="165"/>
      <c r="E23" s="165"/>
      <c r="F23" s="170"/>
      <c r="G23" s="211">
        <f t="shared" si="0"/>
        <v>8116.9500000000007</v>
      </c>
      <c r="J23" s="124">
        <f>SUM(J18:J22)</f>
        <v>5624.36</v>
      </c>
    </row>
    <row r="24" spans="1:10">
      <c r="A24" s="161">
        <v>43581</v>
      </c>
      <c r="B24" s="191">
        <v>6299.87</v>
      </c>
      <c r="C24" s="208">
        <v>3428.27</v>
      </c>
      <c r="D24" s="165"/>
      <c r="E24" s="165"/>
      <c r="F24" s="170"/>
      <c r="G24" s="211">
        <f t="shared" si="0"/>
        <v>9728.14</v>
      </c>
      <c r="H24" t="s">
        <v>182</v>
      </c>
    </row>
    <row r="25" spans="1:10">
      <c r="A25" s="161">
        <v>43584</v>
      </c>
      <c r="B25" s="191">
        <v>5398.55</v>
      </c>
      <c r="C25" s="208"/>
      <c r="D25" s="165"/>
      <c r="E25" s="165"/>
      <c r="F25" s="170"/>
      <c r="G25" s="211">
        <f t="shared" si="0"/>
        <v>5398.55</v>
      </c>
    </row>
    <row r="26" spans="1:10">
      <c r="A26" s="161">
        <v>43585</v>
      </c>
      <c r="B26" s="191">
        <v>3411.34</v>
      </c>
      <c r="C26" s="208"/>
      <c r="D26" s="165"/>
      <c r="E26" s="165"/>
      <c r="F26" s="170"/>
      <c r="G26" s="211">
        <f t="shared" si="0"/>
        <v>3411.34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11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11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11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11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11">
      <c r="A37" s="173" t="s">
        <v>104</v>
      </c>
      <c r="B37" s="173">
        <f t="shared" ref="B37:G37" si="1">SUM(B5:B29)</f>
        <v>332283.69999999995</v>
      </c>
      <c r="C37" s="173">
        <f t="shared" si="1"/>
        <v>64974.57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347886.69999999995</v>
      </c>
    </row>
    <row r="38" spans="1:11">
      <c r="A38" s="174" t="s">
        <v>130</v>
      </c>
      <c r="B38" s="175">
        <f>SUM(B37+C37)-C53+D37</f>
        <v>395067.17</v>
      </c>
      <c r="C38" s="173"/>
      <c r="D38" s="173"/>
      <c r="E38" s="176"/>
      <c r="F38" s="177"/>
      <c r="G38" s="173"/>
    </row>
    <row r="39" spans="1:11">
      <c r="A39" s="178"/>
      <c r="B39" s="179"/>
      <c r="C39" s="164"/>
      <c r="D39" s="164"/>
      <c r="E39" s="164"/>
      <c r="F39" s="164"/>
      <c r="G39" s="173"/>
    </row>
    <row r="40" spans="1:11">
      <c r="A40" s="180"/>
      <c r="B40" s="171"/>
      <c r="C40" s="164"/>
      <c r="D40" s="164"/>
      <c r="E40" s="164"/>
      <c r="F40" s="164"/>
      <c r="G40" s="173"/>
    </row>
    <row r="41" spans="1:11" ht="15">
      <c r="A41" s="181" t="s">
        <v>131</v>
      </c>
      <c r="B41" s="182">
        <f>B38+B4+C4</f>
        <v>555444.98000000021</v>
      </c>
      <c r="C41" s="183"/>
      <c r="D41" s="183"/>
      <c r="E41" s="183" t="s">
        <v>132</v>
      </c>
      <c r="F41" s="184">
        <f>F4+F37-F54</f>
        <v>0</v>
      </c>
      <c r="G41" s="185"/>
    </row>
    <row r="42" spans="1:11" ht="15">
      <c r="A42" s="186"/>
      <c r="B42" s="182"/>
      <c r="C42" s="183"/>
      <c r="D42" s="183"/>
      <c r="E42" s="183"/>
      <c r="F42" s="183"/>
      <c r="G42" s="185"/>
    </row>
    <row r="43" spans="1:11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  <c r="I43" t="s">
        <v>190</v>
      </c>
      <c r="K43" t="s">
        <v>189</v>
      </c>
    </row>
    <row r="44" spans="1:11" ht="14.25" customHeight="1">
      <c r="A44" s="189">
        <v>43558</v>
      </c>
      <c r="B44" s="370"/>
      <c r="C44" s="191">
        <f>979+1212.1</f>
        <v>2191.1</v>
      </c>
      <c r="D44" s="183"/>
      <c r="E44" s="192"/>
      <c r="F44" s="193"/>
      <c r="G44" s="185"/>
    </row>
    <row r="45" spans="1:11" ht="15" customHeight="1">
      <c r="A45" s="194">
        <v>43559</v>
      </c>
      <c r="B45" s="191">
        <f>10341+2639.4+975+10524.25+5085.5+4183.2+8419.4+692.81+692.81+1736.07+990+2179.5+5754.15+3057.85+6473.2+701+5433.95+3892.56+692.81+9225+1952+8496.71+4543</f>
        <v>98681.169999999984</v>
      </c>
      <c r="C45" s="191"/>
      <c r="D45" s="183"/>
      <c r="E45" s="192"/>
      <c r="F45" s="196"/>
      <c r="G45" s="185"/>
    </row>
    <row r="46" spans="1:11">
      <c r="A46" s="194">
        <v>43566</v>
      </c>
      <c r="B46" s="191">
        <f>6260+692.81+402.96+7265+981.92+10974+2271.5+1980+8419.4+1736.07+4183.2+692.81+1195+8061.72+3892.56+344.84+692.81+692.81+7672.2+1647+9387.85+6644.32+692.81+8419.4+1392.6+8419.4</f>
        <v>105014.98999999999</v>
      </c>
      <c r="C46" s="427"/>
      <c r="D46" s="183"/>
      <c r="E46" s="192"/>
      <c r="F46" s="191"/>
      <c r="G46" s="185"/>
      <c r="I46" t="s">
        <v>191</v>
      </c>
    </row>
    <row r="47" spans="1:11">
      <c r="A47" s="198">
        <v>43573</v>
      </c>
      <c r="B47" s="191">
        <f>260+3058.44+692.81+13288.8+7672.2+622.4+8419.4+2402.8+4183.2+8419.4+134.32+2179.5+5085.5+5342.8+8419.4+701+6987.45+692.81+8555.64+6260+692.81+692.81+1980+2488.25+692.81</f>
        <v>99924.549999999988</v>
      </c>
      <c r="C47" s="191"/>
      <c r="D47" s="183"/>
      <c r="E47" s="192"/>
      <c r="F47" s="191"/>
      <c r="G47" s="185"/>
    </row>
    <row r="48" spans="1:11">
      <c r="A48" s="198">
        <v>43580</v>
      </c>
      <c r="B48" s="191">
        <f>6260+402.96+692.81+12878.2+3675.6+975+5404.55+7991.5+7672.2+701+6008.38+5392.04+3733.2+8419.4+4726.68+8419.4+692.81+692.81+2513.2+692.81+2516.04+6121.2+4543+692.81+1584+700+2390+12976</f>
        <v>119467.59999999996</v>
      </c>
      <c r="C48" s="191"/>
      <c r="D48" s="183"/>
      <c r="E48" s="192"/>
      <c r="F48" s="191"/>
      <c r="G48" s="185"/>
    </row>
    <row r="49" spans="1:7">
      <c r="A49" s="198">
        <v>43585</v>
      </c>
      <c r="B49" s="191">
        <f>692.81+4398.06+8419.4+1980+1350+692.81+268.64+4183.2+481.14+6314.55+14300.8</f>
        <v>43081.41</v>
      </c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466169.72</v>
      </c>
      <c r="C53" s="200">
        <f>SUM(C44:C52)</f>
        <v>2191.1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89275.260000000242</v>
      </c>
      <c r="C54" s="200">
        <f>SUM(C44:C52)</f>
        <v>2191.1</v>
      </c>
      <c r="D54" s="235">
        <f>B54</f>
        <v>89275.260000000242</v>
      </c>
      <c r="E54" s="183"/>
      <c r="F54" s="173">
        <f>SUM(F44:F53)</f>
        <v>0</v>
      </c>
      <c r="G54" s="185"/>
    </row>
    <row r="56" spans="1:7">
      <c r="D56" s="4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0" workbookViewId="0">
      <selection activeCell="D54" sqref="D54"/>
    </sheetView>
  </sheetViews>
  <sheetFormatPr defaultRowHeight="12.75"/>
  <cols>
    <col min="1" max="1" width="11.28515625" customWidth="1"/>
    <col min="2" max="2" width="11.85546875" customWidth="1"/>
    <col min="3" max="5" width="11.71093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191615.63000000024</v>
      </c>
      <c r="D4" s="413"/>
      <c r="E4" s="205"/>
      <c r="F4" s="153"/>
      <c r="G4" s="212">
        <f>B4+F4</f>
        <v>0</v>
      </c>
    </row>
    <row r="5" spans="1:7">
      <c r="A5" s="154">
        <v>43525</v>
      </c>
      <c r="B5" s="429">
        <v>9995.77</v>
      </c>
      <c r="C5" s="430">
        <v>1076.9000000000001</v>
      </c>
      <c r="D5" s="156"/>
      <c r="E5" s="157"/>
      <c r="F5" s="158"/>
      <c r="G5" s="211">
        <f t="shared" ref="G5:G36" si="0">SUM(B5:F5)</f>
        <v>11072.67</v>
      </c>
    </row>
    <row r="6" spans="1:7">
      <c r="A6" s="154">
        <v>43528</v>
      </c>
      <c r="B6" s="429">
        <f>18963.71+11251</f>
        <v>30214.71</v>
      </c>
      <c r="C6" s="429">
        <v>1857.74</v>
      </c>
      <c r="D6" s="157"/>
      <c r="E6" s="157"/>
      <c r="F6" s="159"/>
      <c r="G6" s="211">
        <f t="shared" si="0"/>
        <v>32072.45</v>
      </c>
    </row>
    <row r="7" spans="1:7">
      <c r="A7" s="154">
        <v>43529</v>
      </c>
      <c r="B7" s="429">
        <v>29510.54</v>
      </c>
      <c r="C7" s="431">
        <v>1272.7</v>
      </c>
      <c r="D7" s="156"/>
      <c r="E7" s="155"/>
      <c r="F7" s="159"/>
      <c r="G7" s="211">
        <f t="shared" si="0"/>
        <v>30783.24</v>
      </c>
    </row>
    <row r="8" spans="1:7">
      <c r="A8" s="154">
        <v>43530</v>
      </c>
      <c r="B8" s="429">
        <v>25437.68</v>
      </c>
      <c r="C8" s="431">
        <v>7245.8</v>
      </c>
      <c r="D8" s="162"/>
      <c r="E8" s="162"/>
      <c r="F8" s="159"/>
      <c r="G8" s="211">
        <f t="shared" si="0"/>
        <v>32683.48</v>
      </c>
    </row>
    <row r="9" spans="1:7">
      <c r="A9" s="161">
        <v>43531</v>
      </c>
      <c r="B9" s="429">
        <v>35194.339999999997</v>
      </c>
      <c r="C9" s="429">
        <v>4983.1099999999997</v>
      </c>
      <c r="D9" s="162"/>
      <c r="E9" s="162"/>
      <c r="F9" s="159"/>
      <c r="G9" s="211">
        <f t="shared" si="0"/>
        <v>40177.449999999997</v>
      </c>
    </row>
    <row r="10" spans="1:7">
      <c r="A10" s="161">
        <v>43535</v>
      </c>
      <c r="B10" s="429">
        <f>26819.71+4736.99</f>
        <v>31556.699999999997</v>
      </c>
      <c r="C10" s="431">
        <f>6167.7+11468.99</f>
        <v>17636.689999999999</v>
      </c>
      <c r="D10" s="162"/>
      <c r="E10" s="162"/>
      <c r="F10" s="159"/>
      <c r="G10" s="211">
        <f t="shared" si="0"/>
        <v>49193.39</v>
      </c>
    </row>
    <row r="11" spans="1:7">
      <c r="A11" s="161">
        <v>43536</v>
      </c>
      <c r="B11" s="429">
        <v>15664</v>
      </c>
      <c r="C11" s="431"/>
      <c r="D11" s="162"/>
      <c r="E11" s="162"/>
      <c r="F11" s="158"/>
      <c r="G11" s="211">
        <f t="shared" si="0"/>
        <v>15664</v>
      </c>
    </row>
    <row r="12" spans="1:7">
      <c r="A12" s="161">
        <v>43537</v>
      </c>
      <c r="B12" s="429">
        <v>19482.099999999999</v>
      </c>
      <c r="C12" s="429">
        <v>5286.6</v>
      </c>
      <c r="D12" s="162"/>
      <c r="E12" s="162"/>
      <c r="F12" s="158"/>
      <c r="G12" s="211">
        <f t="shared" si="0"/>
        <v>24768.699999999997</v>
      </c>
    </row>
    <row r="13" spans="1:7">
      <c r="A13" s="456">
        <v>43538</v>
      </c>
      <c r="B13" s="457">
        <v>23034.720000000001</v>
      </c>
      <c r="C13" s="457">
        <v>4891.54</v>
      </c>
      <c r="D13" s="163"/>
      <c r="E13" s="162"/>
      <c r="F13" s="158"/>
      <c r="G13" s="211">
        <f t="shared" si="0"/>
        <v>27926.260000000002</v>
      </c>
    </row>
    <row r="14" spans="1:7">
      <c r="A14" s="462">
        <v>43539</v>
      </c>
      <c r="B14" s="459">
        <v>3034.9</v>
      </c>
      <c r="C14" s="459">
        <v>21262.880000000001</v>
      </c>
      <c r="D14" s="455"/>
      <c r="E14" s="162"/>
      <c r="F14" s="158"/>
      <c r="G14" s="211">
        <f t="shared" si="0"/>
        <v>24297.780000000002</v>
      </c>
    </row>
    <row r="15" spans="1:7">
      <c r="A15" s="458">
        <v>43542</v>
      </c>
      <c r="B15" s="430">
        <f>1076.9+20954.19+11248.09</f>
        <v>33279.18</v>
      </c>
      <c r="C15" s="430">
        <v>6980.27</v>
      </c>
      <c r="D15" s="162"/>
      <c r="E15" s="162"/>
      <c r="F15" s="159"/>
      <c r="G15" s="211">
        <f>SUM(D15:F15)</f>
        <v>0</v>
      </c>
    </row>
    <row r="16" spans="1:7">
      <c r="A16" s="161">
        <v>43543</v>
      </c>
      <c r="B16" s="191">
        <v>14273.82</v>
      </c>
      <c r="C16" s="191"/>
      <c r="D16" s="208"/>
      <c r="E16" s="165"/>
      <c r="F16" s="166"/>
      <c r="G16" s="211">
        <f t="shared" si="0"/>
        <v>14273.82</v>
      </c>
    </row>
    <row r="17" spans="1:10">
      <c r="A17" s="161">
        <v>43544</v>
      </c>
      <c r="B17" s="436">
        <v>6559.3</v>
      </c>
      <c r="C17" s="208"/>
      <c r="D17" s="208"/>
      <c r="E17" s="165"/>
      <c r="F17" s="166"/>
      <c r="G17" s="211">
        <f t="shared" si="0"/>
        <v>6559.3</v>
      </c>
    </row>
    <row r="18" spans="1:10">
      <c r="A18" s="161">
        <v>43545</v>
      </c>
      <c r="B18" s="207">
        <v>1151.76</v>
      </c>
      <c r="C18" s="208">
        <v>2746.1</v>
      </c>
      <c r="D18" s="208"/>
      <c r="E18" s="165"/>
      <c r="F18" s="166"/>
      <c r="G18" s="211">
        <f t="shared" si="0"/>
        <v>3897.8599999999997</v>
      </c>
      <c r="J18">
        <v>979</v>
      </c>
    </row>
    <row r="19" spans="1:10">
      <c r="A19" s="161">
        <v>43546</v>
      </c>
      <c r="B19" s="207">
        <v>3430.89</v>
      </c>
      <c r="C19" s="208">
        <v>1468.5</v>
      </c>
      <c r="D19" s="208"/>
      <c r="E19" s="165"/>
      <c r="F19" s="166"/>
      <c r="G19" s="211">
        <f t="shared" si="0"/>
        <v>4899.3899999999994</v>
      </c>
      <c r="J19">
        <v>1664.3</v>
      </c>
    </row>
    <row r="20" spans="1:10">
      <c r="A20" s="161">
        <v>43549</v>
      </c>
      <c r="B20" s="191">
        <f>4992.9+7348.26</f>
        <v>12341.16</v>
      </c>
      <c r="C20" s="209">
        <v>2862.2</v>
      </c>
      <c r="D20" s="168"/>
      <c r="E20" s="165"/>
      <c r="F20" s="166"/>
      <c r="G20" s="211">
        <f t="shared" si="0"/>
        <v>15203.36</v>
      </c>
      <c r="J20">
        <v>783.2</v>
      </c>
    </row>
    <row r="21" spans="1:10">
      <c r="A21" s="161">
        <v>43550</v>
      </c>
      <c r="B21" s="191">
        <v>2958</v>
      </c>
      <c r="C21" s="208"/>
      <c r="D21" s="165"/>
      <c r="E21" s="165"/>
      <c r="F21" s="169"/>
      <c r="G21" s="211">
        <f t="shared" si="0"/>
        <v>2958</v>
      </c>
      <c r="J21">
        <v>783.2</v>
      </c>
    </row>
    <row r="22" spans="1:10">
      <c r="A22" s="161">
        <v>43551</v>
      </c>
      <c r="B22" s="191">
        <v>3657.15</v>
      </c>
      <c r="C22" s="208"/>
      <c r="D22" s="165"/>
      <c r="E22" s="165"/>
      <c r="F22" s="170"/>
      <c r="G22" s="211">
        <f t="shared" si="0"/>
        <v>3657.15</v>
      </c>
      <c r="J22">
        <v>1414.66</v>
      </c>
    </row>
    <row r="23" spans="1:10">
      <c r="A23" s="161">
        <v>43552</v>
      </c>
      <c r="B23" s="191">
        <v>4368.07</v>
      </c>
      <c r="C23" s="208"/>
      <c r="D23" s="165"/>
      <c r="E23" s="165"/>
      <c r="F23" s="170"/>
      <c r="G23" s="211">
        <f t="shared" si="0"/>
        <v>4368.07</v>
      </c>
      <c r="J23" s="124">
        <f>SUM(J18:J22)</f>
        <v>5624.36</v>
      </c>
    </row>
    <row r="24" spans="1:10">
      <c r="A24" s="161">
        <v>43553</v>
      </c>
      <c r="B24" s="191"/>
      <c r="C24" s="208">
        <v>1497.87</v>
      </c>
      <c r="D24" s="165"/>
      <c r="E24" s="165"/>
      <c r="F24" s="170"/>
      <c r="G24" s="211">
        <f t="shared" si="0"/>
        <v>1497.87</v>
      </c>
      <c r="H24" t="s">
        <v>182</v>
      </c>
    </row>
    <row r="25" spans="1:10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11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11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11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11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11">
      <c r="A37" s="173" t="s">
        <v>104</v>
      </c>
      <c r="B37" s="173">
        <f t="shared" ref="B37:G37" si="1">SUM(B5:B29)</f>
        <v>305144.78999999998</v>
      </c>
      <c r="C37" s="173">
        <f t="shared" si="1"/>
        <v>81068.900000000009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345954.24000000005</v>
      </c>
    </row>
    <row r="38" spans="1:11">
      <c r="A38" s="174" t="s">
        <v>130</v>
      </c>
      <c r="B38" s="175">
        <f>SUM(B37+C37)-C53+D37</f>
        <v>384347.83</v>
      </c>
      <c r="C38" s="173"/>
      <c r="D38" s="173"/>
      <c r="E38" s="176"/>
      <c r="F38" s="177"/>
      <c r="G38" s="173"/>
    </row>
    <row r="39" spans="1:11">
      <c r="A39" s="178"/>
      <c r="B39" s="179"/>
      <c r="C39" s="164"/>
      <c r="D39" s="164"/>
      <c r="E39" s="164"/>
      <c r="F39" s="164"/>
      <c r="G39" s="173"/>
    </row>
    <row r="40" spans="1:11">
      <c r="A40" s="180"/>
      <c r="B40" s="171"/>
      <c r="C40" s="164"/>
      <c r="D40" s="164"/>
      <c r="E40" s="164"/>
      <c r="F40" s="164"/>
      <c r="G40" s="173"/>
    </row>
    <row r="41" spans="1:11" ht="15">
      <c r="A41" s="181" t="s">
        <v>131</v>
      </c>
      <c r="B41" s="182">
        <f>B38+B4+C4</f>
        <v>575963.4600000002</v>
      </c>
      <c r="C41" s="183"/>
      <c r="D41" s="183"/>
      <c r="E41" s="183" t="s">
        <v>132</v>
      </c>
      <c r="F41" s="184">
        <f>F4+F37-F54</f>
        <v>0</v>
      </c>
      <c r="G41" s="185"/>
    </row>
    <row r="42" spans="1:11" ht="15">
      <c r="A42" s="186"/>
      <c r="B42" s="182"/>
      <c r="C42" s="183"/>
      <c r="D42" s="183"/>
      <c r="E42" s="183"/>
      <c r="F42" s="183"/>
      <c r="G42" s="185"/>
    </row>
    <row r="43" spans="1:11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  <c r="I43" t="s">
        <v>190</v>
      </c>
      <c r="K43" t="s">
        <v>189</v>
      </c>
    </row>
    <row r="44" spans="1:11" ht="14.25" customHeight="1">
      <c r="A44" s="189">
        <v>43528</v>
      </c>
      <c r="B44" s="370"/>
      <c r="C44" s="191">
        <f>1272.7+593.16</f>
        <v>1865.8600000000001</v>
      </c>
      <c r="D44" s="183"/>
      <c r="E44" s="192"/>
      <c r="F44" s="193"/>
      <c r="G44" s="185"/>
    </row>
    <row r="45" spans="1:11" ht="15" customHeight="1">
      <c r="A45" s="194">
        <v>43531</v>
      </c>
      <c r="B45" s="191">
        <f>779.5+10144+2988.93+3836.1+1320+6817.2+779.5+260+1392.6+779.5+3733.2+779.5+3233.75+5287.01+2091.6+3632.5+12629.1+10524.25+671.6+8419.4+779.5</f>
        <v>80878.739999999991</v>
      </c>
      <c r="C45" s="191"/>
      <c r="D45" s="183"/>
      <c r="E45" s="192"/>
      <c r="F45" s="196"/>
      <c r="G45" s="185"/>
    </row>
    <row r="46" spans="1:11">
      <c r="A46" s="194">
        <v>43537</v>
      </c>
      <c r="B46" s="191"/>
      <c r="C46" s="427"/>
      <c r="D46" s="183"/>
      <c r="E46" s="192"/>
      <c r="F46" s="191"/>
      <c r="G46" s="185"/>
      <c r="I46" t="s">
        <v>191</v>
      </c>
    </row>
    <row r="47" spans="1:11">
      <c r="A47" s="198">
        <v>43538</v>
      </c>
      <c r="B47" s="191">
        <f>12878.2+5838.84+7583.26+8061.1+779.5+8419.4+5174.87+575+10456.8+7265+779.5+1402+6644.32+3472.14+671.6+1407.75+4548+8387.75+5754.15+3300+4183.2+4805.6+779.5+692.81+701</f>
        <v>114561.29000000001</v>
      </c>
      <c r="C47" s="191"/>
      <c r="D47" s="183"/>
      <c r="E47" s="192"/>
      <c r="F47" s="191"/>
      <c r="G47" s="185"/>
    </row>
    <row r="48" spans="1:11">
      <c r="A48" s="198">
        <v>43546</v>
      </c>
      <c r="B48" s="191">
        <f>700+1854+692.81+5085.5+10524.25+5754.15+402.96+692.81+8054.74+1244.8+692.81+5711.45+5838.84+1980+692.81+4183.2+12476+692.81+2179.5+5725+8419.4+8419.4+7116.05+692.81+4543</f>
        <v>104369.09999999998</v>
      </c>
      <c r="C48" s="191"/>
      <c r="D48" s="183"/>
      <c r="E48" s="192"/>
      <c r="F48" s="191"/>
      <c r="G48" s="185"/>
    </row>
    <row r="49" spans="1:7">
      <c r="A49" s="198">
        <v>43552</v>
      </c>
      <c r="B49" s="195">
        <f>2390+3892.56+10524.25+8538.8+6260+692.81+692.81+8419.4+7265+8419.4+1361.5+402.96+13306+6431.1+5754.15+4183.2+692.81+3057.85+4921.3+1980+692.81</f>
        <v>99878.709999999992</v>
      </c>
      <c r="C49" s="191"/>
      <c r="D49" s="183"/>
      <c r="E49" s="192"/>
      <c r="F49" s="191"/>
      <c r="G49" s="185"/>
    </row>
    <row r="50" spans="1:7">
      <c r="A50" s="198">
        <v>43553</v>
      </c>
      <c r="B50" s="195">
        <f>1980+8419.4+4805.6+692.81</f>
        <v>15897.81</v>
      </c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415585.64999999997</v>
      </c>
      <c r="C53" s="200">
        <f>SUM(C44:C52)</f>
        <v>1865.8600000000001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160377.81000000023</v>
      </c>
      <c r="C54" s="200">
        <f>SUM(C44:C52)</f>
        <v>1865.8600000000001</v>
      </c>
      <c r="D54" s="235">
        <f>B54</f>
        <v>160377.81000000023</v>
      </c>
      <c r="E54" s="183"/>
      <c r="F54" s="173">
        <f>SUM(F44:F53)</f>
        <v>0</v>
      </c>
      <c r="G54" s="185"/>
    </row>
    <row r="56" spans="1:7">
      <c r="D56" s="4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0" workbookViewId="0">
      <selection activeCell="N61" sqref="N61"/>
    </sheetView>
  </sheetViews>
  <sheetFormatPr defaultRowHeight="12.75"/>
  <cols>
    <col min="1" max="1" width="11.28515625" customWidth="1"/>
    <col min="2" max="2" width="11.85546875" customWidth="1"/>
    <col min="3" max="5" width="11.71093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214679.65000000011</v>
      </c>
      <c r="D4" s="413"/>
      <c r="E4" s="205"/>
      <c r="F4" s="153"/>
      <c r="G4" s="212">
        <f>B4+F4</f>
        <v>0</v>
      </c>
    </row>
    <row r="5" spans="1:7">
      <c r="A5" s="154">
        <v>43500</v>
      </c>
      <c r="B5" s="429">
        <v>3224.94</v>
      </c>
      <c r="C5" s="430">
        <v>10563.32</v>
      </c>
      <c r="D5" s="156"/>
      <c r="E5" s="157"/>
      <c r="F5" s="158"/>
      <c r="G5" s="211">
        <f t="shared" ref="G5:G36" si="0">SUM(B5:F5)</f>
        <v>13788.26</v>
      </c>
    </row>
    <row r="6" spans="1:7">
      <c r="A6" s="154">
        <v>43501</v>
      </c>
      <c r="B6" s="429">
        <v>32935.230000000003</v>
      </c>
      <c r="C6" s="429">
        <v>1958</v>
      </c>
      <c r="D6" s="157"/>
      <c r="E6" s="157"/>
      <c r="F6" s="159"/>
      <c r="G6" s="211">
        <f t="shared" si="0"/>
        <v>34893.230000000003</v>
      </c>
    </row>
    <row r="7" spans="1:7">
      <c r="A7" s="154">
        <v>43502</v>
      </c>
      <c r="B7" s="429">
        <v>36451.15</v>
      </c>
      <c r="C7" s="431">
        <v>11352.56</v>
      </c>
      <c r="D7" s="156"/>
      <c r="E7" s="155"/>
      <c r="F7" s="159"/>
      <c r="G7" s="211">
        <f t="shared" si="0"/>
        <v>47803.71</v>
      </c>
    </row>
    <row r="8" spans="1:7">
      <c r="A8" s="154">
        <v>43503</v>
      </c>
      <c r="B8" s="429">
        <v>22444.31</v>
      </c>
      <c r="C8" s="431">
        <v>913.73</v>
      </c>
      <c r="D8" s="162"/>
      <c r="E8" s="162"/>
      <c r="F8" s="159"/>
      <c r="G8" s="211">
        <f t="shared" si="0"/>
        <v>23358.04</v>
      </c>
    </row>
    <row r="9" spans="1:7">
      <c r="A9" s="161">
        <v>43504</v>
      </c>
      <c r="B9" s="429">
        <v>15685.15</v>
      </c>
      <c r="C9" s="429">
        <v>9686.34</v>
      </c>
      <c r="D9" s="162"/>
      <c r="E9" s="162"/>
      <c r="F9" s="159"/>
      <c r="G9" s="211">
        <f t="shared" si="0"/>
        <v>25371.489999999998</v>
      </c>
    </row>
    <row r="10" spans="1:7">
      <c r="A10" s="161">
        <v>43507</v>
      </c>
      <c r="B10" s="429">
        <f>7509.5+46229.68</f>
        <v>53739.18</v>
      </c>
      <c r="C10" s="431">
        <f>921.41+5758.82</f>
        <v>6680.23</v>
      </c>
      <c r="D10" s="162"/>
      <c r="E10" s="162"/>
      <c r="F10" s="159"/>
      <c r="G10" s="211">
        <f t="shared" si="0"/>
        <v>60419.41</v>
      </c>
    </row>
    <row r="11" spans="1:7">
      <c r="A11" s="161">
        <v>43508</v>
      </c>
      <c r="B11" s="429">
        <v>1497.29</v>
      </c>
      <c r="C11" s="431">
        <v>16795.46</v>
      </c>
      <c r="D11" s="162"/>
      <c r="E11" s="162"/>
      <c r="F11" s="158"/>
      <c r="G11" s="211">
        <f t="shared" si="0"/>
        <v>18292.75</v>
      </c>
    </row>
    <row r="12" spans="1:7">
      <c r="A12" s="161">
        <v>43509</v>
      </c>
      <c r="B12" s="429">
        <v>11711.41</v>
      </c>
      <c r="C12" s="429">
        <v>7042.21</v>
      </c>
      <c r="D12" s="162"/>
      <c r="E12" s="162"/>
      <c r="F12" s="158"/>
      <c r="G12" s="211">
        <f t="shared" si="0"/>
        <v>18753.62</v>
      </c>
    </row>
    <row r="13" spans="1:7">
      <c r="A13" s="456">
        <v>43510</v>
      </c>
      <c r="B13" s="457"/>
      <c r="C13" s="457">
        <f>23800.46+1958</f>
        <v>25758.46</v>
      </c>
      <c r="D13" s="163"/>
      <c r="E13" s="162"/>
      <c r="F13" s="158"/>
      <c r="G13" s="211">
        <f t="shared" si="0"/>
        <v>25758.46</v>
      </c>
    </row>
    <row r="14" spans="1:7">
      <c r="A14" s="462">
        <v>43511</v>
      </c>
      <c r="B14" s="459">
        <f>17427.29</f>
        <v>17427.29</v>
      </c>
      <c r="C14" s="459">
        <v>921.41</v>
      </c>
      <c r="D14" s="455"/>
      <c r="E14" s="162"/>
      <c r="F14" s="158"/>
      <c r="G14" s="211">
        <f t="shared" si="0"/>
        <v>18348.7</v>
      </c>
    </row>
    <row r="15" spans="1:7">
      <c r="A15" s="458">
        <v>43514</v>
      </c>
      <c r="B15" s="430">
        <f>27358.49+2994.59</f>
        <v>30353.08</v>
      </c>
      <c r="C15" s="430">
        <f>2418.71+4585.34</f>
        <v>7004.05</v>
      </c>
      <c r="D15" s="162"/>
      <c r="E15" s="162"/>
      <c r="F15" s="159"/>
      <c r="G15" s="211">
        <f>SUM(D15:F15)</f>
        <v>0</v>
      </c>
    </row>
    <row r="16" spans="1:7">
      <c r="A16" s="161">
        <v>43515</v>
      </c>
      <c r="B16" s="191"/>
      <c r="C16" s="191">
        <v>6169.07</v>
      </c>
      <c r="D16" s="208"/>
      <c r="E16" s="165"/>
      <c r="F16" s="166"/>
      <c r="G16" s="211">
        <f t="shared" si="0"/>
        <v>6169.07</v>
      </c>
    </row>
    <row r="17" spans="1:10">
      <c r="A17" s="161">
        <v>43516</v>
      </c>
      <c r="B17" s="436">
        <v>16019.76</v>
      </c>
      <c r="C17" s="208">
        <v>5067.76</v>
      </c>
      <c r="D17" s="208"/>
      <c r="E17" s="165"/>
      <c r="F17" s="166"/>
      <c r="G17" s="211">
        <f t="shared" si="0"/>
        <v>21087.52</v>
      </c>
    </row>
    <row r="18" spans="1:10">
      <c r="A18" s="161">
        <v>43517</v>
      </c>
      <c r="B18" s="207">
        <v>3455.82</v>
      </c>
      <c r="C18" s="208"/>
      <c r="D18" s="208"/>
      <c r="E18" s="165"/>
      <c r="F18" s="166"/>
      <c r="G18" s="211">
        <f t="shared" si="0"/>
        <v>3455.82</v>
      </c>
      <c r="J18">
        <v>979</v>
      </c>
    </row>
    <row r="19" spans="1:10">
      <c r="A19" s="161">
        <v>43518</v>
      </c>
      <c r="B19" s="207">
        <v>3109.76</v>
      </c>
      <c r="C19" s="208">
        <v>1497.29</v>
      </c>
      <c r="D19" s="208"/>
      <c r="E19" s="165"/>
      <c r="F19" s="166"/>
      <c r="G19" s="211">
        <f t="shared" si="0"/>
        <v>4607.05</v>
      </c>
      <c r="J19">
        <v>1664.3</v>
      </c>
    </row>
    <row r="20" spans="1:10">
      <c r="A20" s="161">
        <v>43521</v>
      </c>
      <c r="B20" s="191">
        <f>748.65+5140.12</f>
        <v>5888.7699999999995</v>
      </c>
      <c r="C20" s="209">
        <v>1113.3800000000001</v>
      </c>
      <c r="D20" s="168"/>
      <c r="E20" s="165"/>
      <c r="F20" s="166"/>
      <c r="G20" s="211">
        <f t="shared" si="0"/>
        <v>7002.15</v>
      </c>
      <c r="J20">
        <v>783.2</v>
      </c>
    </row>
    <row r="21" spans="1:10">
      <c r="A21" s="161">
        <v>43522</v>
      </c>
      <c r="B21" s="191">
        <v>1842.82</v>
      </c>
      <c r="C21" s="208">
        <v>1842.82</v>
      </c>
      <c r="D21" s="165"/>
      <c r="E21" s="165"/>
      <c r="F21" s="169"/>
      <c r="G21" s="211">
        <f t="shared" si="0"/>
        <v>3685.64</v>
      </c>
      <c r="J21">
        <v>783.2</v>
      </c>
    </row>
    <row r="22" spans="1:10">
      <c r="A22" s="161">
        <v>43523</v>
      </c>
      <c r="B22" s="191">
        <f>5177.45</f>
        <v>5177.45</v>
      </c>
      <c r="C22" s="208">
        <v>1958</v>
      </c>
      <c r="D22" s="165"/>
      <c r="E22" s="165"/>
      <c r="F22" s="170"/>
      <c r="G22" s="211">
        <f t="shared" si="0"/>
        <v>7135.45</v>
      </c>
      <c r="J22">
        <v>1414.66</v>
      </c>
    </row>
    <row r="23" spans="1:10">
      <c r="A23" s="161"/>
      <c r="B23" s="191"/>
      <c r="C23" s="208"/>
      <c r="D23" s="165"/>
      <c r="E23" s="165"/>
      <c r="F23" s="170"/>
      <c r="G23" s="211">
        <f t="shared" si="0"/>
        <v>0</v>
      </c>
      <c r="J23" s="124">
        <f>SUM(J18:J22)</f>
        <v>5624.36</v>
      </c>
    </row>
    <row r="24" spans="1:10">
      <c r="A24" s="161"/>
      <c r="B24" s="191"/>
      <c r="C24" s="208"/>
      <c r="D24" s="165"/>
      <c r="E24" s="165"/>
      <c r="F24" s="170"/>
      <c r="G24" s="211">
        <f t="shared" si="0"/>
        <v>0</v>
      </c>
      <c r="H24" t="s">
        <v>182</v>
      </c>
    </row>
    <row r="25" spans="1:10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260963.41000000006</v>
      </c>
      <c r="C37" s="173">
        <f t="shared" si="1"/>
        <v>116324.09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339930.37000000011</v>
      </c>
    </row>
    <row r="38" spans="1:7">
      <c r="A38" s="174" t="s">
        <v>130</v>
      </c>
      <c r="B38" s="175">
        <f>SUM(B37+C37)-C53+D37</f>
        <v>374462.93000000005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589142.58000000019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43502</v>
      </c>
      <c r="B44" s="370">
        <f>8443.39+2906+779.5+4359+2054.75+2785.2+779.5+779.5+779.5+10524.25+779.5+525.75+5839.2+7351.54+671.6+5977.86+975+6608+4183.2</f>
        <v>67102.239999999991</v>
      </c>
      <c r="C44" s="191"/>
      <c r="D44" s="183"/>
      <c r="E44" s="192"/>
      <c r="F44" s="193"/>
      <c r="G44" s="185"/>
    </row>
    <row r="45" spans="1:7" ht="15" customHeight="1">
      <c r="A45" s="194">
        <v>43503</v>
      </c>
      <c r="B45" s="191">
        <v>5767.65</v>
      </c>
      <c r="C45" s="191"/>
      <c r="D45" s="183"/>
      <c r="E45" s="192"/>
      <c r="F45" s="196"/>
      <c r="G45" s="185"/>
    </row>
    <row r="46" spans="1:7">
      <c r="A46" s="194">
        <v>43504</v>
      </c>
      <c r="B46" s="191"/>
      <c r="C46" s="427">
        <f>1212.1+1612.47</f>
        <v>2824.5699999999997</v>
      </c>
      <c r="D46" s="183"/>
      <c r="E46" s="192"/>
      <c r="F46" s="191"/>
      <c r="G46" s="185"/>
    </row>
    <row r="47" spans="1:7">
      <c r="A47" s="198">
        <v>43509</v>
      </c>
      <c r="B47" s="191">
        <f>1195+779.5+779.5+8419.4+385.9+779.5+2988.93+7564.87+2142.5+12878.2+4183.2+779.5+8419.4+671.6+990+5754.15+6644.32+7265+5186.75+8482.68+779.5+741.92+2785.2+779.5</f>
        <v>91376.01999999999</v>
      </c>
      <c r="C47" s="191"/>
      <c r="D47" s="183"/>
      <c r="E47" s="192"/>
      <c r="F47" s="191"/>
      <c r="G47" s="185"/>
    </row>
    <row r="48" spans="1:7">
      <c r="A48" s="198">
        <v>43515</v>
      </c>
      <c r="B48" s="191">
        <f>7845.55</f>
        <v>7845.55</v>
      </c>
      <c r="C48" s="191"/>
      <c r="D48" s="183"/>
      <c r="E48" s="192"/>
      <c r="F48" s="191"/>
      <c r="G48" s="185"/>
    </row>
    <row r="49" spans="1:7">
      <c r="A49" s="198">
        <v>43516</v>
      </c>
      <c r="B49" s="195">
        <f>517.8+1071.25+1195+2604.1+4027.8+779.5+4183.2+1778.5+8419.4+7684.46+5729.1+13294.8+6673.06+7265+1980+5754.15+779.5+779.5+2785.2+8419.4+2988.93+779.5+8419.4+671.6+779.5</f>
        <v>99359.64999999998</v>
      </c>
      <c r="C49" s="191"/>
      <c r="D49" s="183"/>
      <c r="E49" s="192"/>
      <c r="F49" s="191"/>
      <c r="G49" s="185"/>
    </row>
    <row r="50" spans="1:7">
      <c r="A50" s="198">
        <v>43517</v>
      </c>
      <c r="B50" s="195">
        <v>7498.15</v>
      </c>
      <c r="C50" s="191"/>
      <c r="D50" s="183"/>
      <c r="E50" s="192"/>
      <c r="F50" s="191"/>
      <c r="G50" s="185"/>
    </row>
    <row r="51" spans="1:7">
      <c r="A51" s="198">
        <v>43523</v>
      </c>
      <c r="B51" s="195">
        <f>2142.5+1357+1195+1261.75+5754.15+779.5+8580.9+7838.46+709.75+8419.4+779.5+1815+8419.4+779.5+1051.5+8419.4+5085.5+2988.93+2179.5+2015+671.6+4183.2+2402.8+779.5+779.5+5069.1+3733.2</f>
        <v>89190.540000000008</v>
      </c>
      <c r="C51" s="191"/>
      <c r="D51" s="183"/>
      <c r="E51" s="183"/>
      <c r="F51" s="191"/>
      <c r="G51" s="185"/>
    </row>
    <row r="52" spans="1:7">
      <c r="A52" s="198">
        <v>43524</v>
      </c>
      <c r="B52" s="195">
        <f>9365+8419.4+779.5+5069.1+5754.15</f>
        <v>29387.15</v>
      </c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397526.94999999995</v>
      </c>
      <c r="C53" s="200">
        <f>SUM(C44:C52)</f>
        <v>2824.5699999999997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191615.63000000024</v>
      </c>
      <c r="C54" s="200">
        <f>SUM(C44:C52)</f>
        <v>2824.5699999999997</v>
      </c>
      <c r="D54" s="235">
        <f>B54</f>
        <v>191615.63000000024</v>
      </c>
      <c r="E54" s="183"/>
      <c r="F54" s="173">
        <f>SUM(F44:F53)</f>
        <v>0</v>
      </c>
      <c r="G54" s="185"/>
    </row>
    <row r="56" spans="1:7">
      <c r="D56" s="4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5" workbookViewId="0">
      <selection activeCell="C45" sqref="C45:C46"/>
    </sheetView>
  </sheetViews>
  <sheetFormatPr defaultRowHeight="12.75"/>
  <cols>
    <col min="1" max="1" width="11.28515625" customWidth="1"/>
    <col min="2" max="2" width="11.85546875" customWidth="1"/>
    <col min="3" max="5" width="11.71093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86778.940000000061</v>
      </c>
      <c r="D4" s="413"/>
      <c r="E4" s="205"/>
      <c r="F4" s="153"/>
      <c r="G4" s="212">
        <f>B4+F4</f>
        <v>0</v>
      </c>
    </row>
    <row r="5" spans="1:7">
      <c r="A5" s="154">
        <v>43475</v>
      </c>
      <c r="B5" s="429">
        <v>12218.85</v>
      </c>
      <c r="C5" s="430"/>
      <c r="D5" s="156"/>
      <c r="E5" s="157"/>
      <c r="F5" s="158"/>
      <c r="G5" s="211">
        <f t="shared" ref="G5:G36" si="0">SUM(B5:F5)</f>
        <v>12218.85</v>
      </c>
    </row>
    <row r="6" spans="1:7">
      <c r="A6" s="154">
        <v>43476</v>
      </c>
      <c r="B6" s="429">
        <v>35395.03</v>
      </c>
      <c r="C6" s="429">
        <v>578.08000000000004</v>
      </c>
      <c r="D6" s="157"/>
      <c r="E6" s="157"/>
      <c r="F6" s="159"/>
      <c r="G6" s="211">
        <f t="shared" si="0"/>
        <v>35973.11</v>
      </c>
    </row>
    <row r="7" spans="1:7">
      <c r="A7" s="154">
        <v>43479</v>
      </c>
      <c r="B7" s="429">
        <f>42842.9+8671.15</f>
        <v>51514.05</v>
      </c>
      <c r="C7" s="431">
        <f>6974.21+8992.82</f>
        <v>15967.029999999999</v>
      </c>
      <c r="D7" s="156"/>
      <c r="E7" s="155"/>
      <c r="F7" s="159"/>
      <c r="G7" s="211">
        <f t="shared" si="0"/>
        <v>67481.08</v>
      </c>
    </row>
    <row r="8" spans="1:7">
      <c r="A8" s="154">
        <v>43480</v>
      </c>
      <c r="B8" s="429">
        <v>38588.9</v>
      </c>
      <c r="C8" s="431">
        <v>1025.6199999999999</v>
      </c>
      <c r="D8" s="162"/>
      <c r="E8" s="162"/>
      <c r="F8" s="159"/>
      <c r="G8" s="211">
        <f t="shared" si="0"/>
        <v>39614.520000000004</v>
      </c>
    </row>
    <row r="9" spans="1:7">
      <c r="A9" s="161">
        <v>43481</v>
      </c>
      <c r="B9" s="429">
        <v>37192.050000000003</v>
      </c>
      <c r="C9" s="429">
        <v>9883.24</v>
      </c>
      <c r="D9" s="162"/>
      <c r="E9" s="162"/>
      <c r="F9" s="159"/>
      <c r="G9" s="211">
        <f t="shared" si="0"/>
        <v>47075.29</v>
      </c>
    </row>
    <row r="10" spans="1:7">
      <c r="A10" s="161">
        <v>43482</v>
      </c>
      <c r="B10" s="429">
        <v>12885.51</v>
      </c>
      <c r="C10" s="431">
        <v>8972.57</v>
      </c>
      <c r="D10" s="162"/>
      <c r="E10" s="162"/>
      <c r="F10" s="159"/>
      <c r="G10" s="211">
        <f t="shared" si="0"/>
        <v>21858.080000000002</v>
      </c>
    </row>
    <row r="11" spans="1:7">
      <c r="A11" s="161">
        <v>43483</v>
      </c>
      <c r="B11" s="429">
        <v>15239.81</v>
      </c>
      <c r="C11" s="431">
        <v>3561.69</v>
      </c>
      <c r="D11" s="162"/>
      <c r="E11" s="162"/>
      <c r="F11" s="158"/>
      <c r="G11" s="211">
        <f t="shared" si="0"/>
        <v>18801.5</v>
      </c>
    </row>
    <row r="12" spans="1:7">
      <c r="A12" s="161">
        <v>43486</v>
      </c>
      <c r="B12" s="429">
        <f>9556.91+3822.76</f>
        <v>13379.67</v>
      </c>
      <c r="C12" s="429">
        <f>2703.9+3543.04</f>
        <v>6246.9400000000005</v>
      </c>
      <c r="D12" s="162"/>
      <c r="E12" s="162"/>
      <c r="F12" s="158"/>
      <c r="G12" s="211">
        <f t="shared" si="0"/>
        <v>19626.61</v>
      </c>
    </row>
    <row r="13" spans="1:7">
      <c r="A13" s="161">
        <v>43487</v>
      </c>
      <c r="B13" s="429">
        <v>7738.76</v>
      </c>
      <c r="C13" s="429"/>
      <c r="D13" s="163"/>
      <c r="E13" s="162"/>
      <c r="F13" s="158"/>
      <c r="G13" s="211">
        <f t="shared" si="0"/>
        <v>7738.76</v>
      </c>
    </row>
    <row r="14" spans="1:7">
      <c r="A14" s="161">
        <v>43488</v>
      </c>
      <c r="B14" s="429">
        <v>4258.67</v>
      </c>
      <c r="C14" s="429">
        <v>1771.52</v>
      </c>
      <c r="D14" s="162"/>
      <c r="E14" s="162"/>
      <c r="F14" s="158"/>
      <c r="G14" s="211">
        <f t="shared" si="0"/>
        <v>6030.1900000000005</v>
      </c>
    </row>
    <row r="15" spans="1:7">
      <c r="A15" s="161">
        <v>43489</v>
      </c>
      <c r="B15" s="155">
        <v>9976.48</v>
      </c>
      <c r="C15" s="160">
        <v>1720.24</v>
      </c>
      <c r="D15" s="162"/>
      <c r="E15" s="162"/>
      <c r="F15" s="159"/>
      <c r="G15" s="211">
        <f t="shared" si="0"/>
        <v>11696.72</v>
      </c>
    </row>
    <row r="16" spans="1:7">
      <c r="A16" s="161">
        <v>43490</v>
      </c>
      <c r="B16" s="191">
        <v>11296.09</v>
      </c>
      <c r="C16" s="191">
        <v>4316.92</v>
      </c>
      <c r="D16" s="208">
        <v>493.61</v>
      </c>
      <c r="E16" s="165"/>
      <c r="F16" s="166"/>
      <c r="G16" s="211">
        <f t="shared" si="0"/>
        <v>16106.62</v>
      </c>
    </row>
    <row r="17" spans="1:10">
      <c r="A17" s="161">
        <v>43493</v>
      </c>
      <c r="B17" s="436">
        <f>11375.05+4102.47</f>
        <v>15477.52</v>
      </c>
      <c r="C17" s="208">
        <v>1111.94</v>
      </c>
      <c r="D17" s="208"/>
      <c r="E17" s="165"/>
      <c r="F17" s="166"/>
      <c r="G17" s="211">
        <f t="shared" si="0"/>
        <v>16589.46</v>
      </c>
    </row>
    <row r="18" spans="1:10">
      <c r="A18" s="161">
        <v>43494</v>
      </c>
      <c r="B18" s="207">
        <v>9381.7800000000007</v>
      </c>
      <c r="C18" s="208"/>
      <c r="D18" s="208"/>
      <c r="E18" s="165"/>
      <c r="F18" s="166"/>
      <c r="G18" s="211">
        <f t="shared" si="0"/>
        <v>9381.7800000000007</v>
      </c>
      <c r="J18">
        <v>979</v>
      </c>
    </row>
    <row r="19" spans="1:10">
      <c r="A19" s="161">
        <v>43495</v>
      </c>
      <c r="B19" s="207">
        <v>2424.1999999999998</v>
      </c>
      <c r="C19" s="208"/>
      <c r="D19" s="208"/>
      <c r="E19" s="165"/>
      <c r="F19" s="166"/>
      <c r="G19" s="211">
        <f t="shared" si="0"/>
        <v>2424.1999999999998</v>
      </c>
      <c r="J19">
        <v>1664.3</v>
      </c>
    </row>
    <row r="20" spans="1:10">
      <c r="A20" s="161">
        <v>43496</v>
      </c>
      <c r="B20" s="191">
        <v>2210.67</v>
      </c>
      <c r="C20" s="209"/>
      <c r="D20" s="168"/>
      <c r="E20" s="165"/>
      <c r="F20" s="166"/>
      <c r="G20" s="211">
        <f t="shared" si="0"/>
        <v>2210.67</v>
      </c>
      <c r="J20">
        <v>783.2</v>
      </c>
    </row>
    <row r="21" spans="1:10">
      <c r="A21" s="161"/>
      <c r="B21" s="191"/>
      <c r="C21" s="208"/>
      <c r="D21" s="165"/>
      <c r="E21" s="165"/>
      <c r="F21" s="169"/>
      <c r="G21" s="211">
        <f t="shared" si="0"/>
        <v>0</v>
      </c>
      <c r="J21">
        <v>783.2</v>
      </c>
    </row>
    <row r="22" spans="1:10">
      <c r="A22" s="161"/>
      <c r="B22" s="191"/>
      <c r="C22" s="208"/>
      <c r="D22" s="165"/>
      <c r="E22" s="165"/>
      <c r="F22" s="170"/>
      <c r="G22" s="211">
        <f t="shared" si="0"/>
        <v>0</v>
      </c>
      <c r="J22">
        <v>1414.66</v>
      </c>
    </row>
    <row r="23" spans="1:10">
      <c r="A23" s="161"/>
      <c r="B23" s="191"/>
      <c r="C23" s="208"/>
      <c r="D23" s="165"/>
      <c r="E23" s="165"/>
      <c r="F23" s="170"/>
      <c r="G23" s="211">
        <f t="shared" si="0"/>
        <v>0</v>
      </c>
      <c r="J23" s="124">
        <f>SUM(J18:J22)</f>
        <v>5624.36</v>
      </c>
    </row>
    <row r="24" spans="1:10">
      <c r="A24" s="161"/>
      <c r="B24" s="191"/>
      <c r="C24" s="208"/>
      <c r="D24" s="165"/>
      <c r="E24" s="165"/>
      <c r="F24" s="170"/>
      <c r="G24" s="211">
        <f t="shared" si="0"/>
        <v>0</v>
      </c>
      <c r="H24" t="s">
        <v>182</v>
      </c>
    </row>
    <row r="25" spans="1:10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279178.0400000001</v>
      </c>
      <c r="C37" s="173">
        <f t="shared" si="1"/>
        <v>55155.79</v>
      </c>
      <c r="D37" s="173">
        <f t="shared" si="1"/>
        <v>493.61</v>
      </c>
      <c r="E37" s="173">
        <f t="shared" si="1"/>
        <v>0</v>
      </c>
      <c r="F37" s="173">
        <f t="shared" si="1"/>
        <v>0</v>
      </c>
      <c r="G37" s="173">
        <f t="shared" si="1"/>
        <v>334827.44</v>
      </c>
    </row>
    <row r="38" spans="1:7">
      <c r="A38" s="174" t="s">
        <v>130</v>
      </c>
      <c r="B38" s="175">
        <f>SUM(B37+C37)-C53+D37</f>
        <v>331536.68000000005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418315.62000000011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43480</v>
      </c>
      <c r="B44" s="370">
        <f>2088+671.6+4635.93+779.5+6154.09+4176+7202.83+3472.14+671.6+4167.58+3058.44+1907.82+2555.54+779.5+1051.5+869.32+3836.1+5812+3058.44+5812+4192.15+7088.89+779.5</f>
        <v>74820.47</v>
      </c>
      <c r="C44" s="191"/>
      <c r="D44" s="183"/>
      <c r="E44" s="192"/>
      <c r="F44" s="193"/>
      <c r="G44" s="185"/>
    </row>
    <row r="45" spans="1:7" ht="15" customHeight="1">
      <c r="A45" s="194">
        <v>43481</v>
      </c>
      <c r="B45" s="191"/>
      <c r="C45" s="191">
        <f>1585.05+1212.1</f>
        <v>2797.1499999999996</v>
      </c>
      <c r="D45" s="183"/>
      <c r="E45" s="192"/>
      <c r="F45" s="196"/>
      <c r="G45" s="185"/>
    </row>
    <row r="46" spans="1:7">
      <c r="A46" s="194">
        <v>43489</v>
      </c>
      <c r="B46" s="191">
        <f>8314.29+779.5+5151.85+1453+2785.2+4736.5+5838.84+4805.6+779.5+5754.15+2390+3766.6+4536.2+4285+4176+1126.75+5754.15+779.5+779.5+779.5+525.75+671.6+4359+779.5+779.5</f>
        <v>75886.98</v>
      </c>
      <c r="C46" s="427">
        <v>493.61</v>
      </c>
      <c r="D46" s="183"/>
      <c r="E46" s="192"/>
      <c r="F46" s="191"/>
      <c r="G46" s="185"/>
    </row>
    <row r="47" spans="1:7">
      <c r="A47" s="198">
        <v>43494</v>
      </c>
      <c r="B47" s="191">
        <f>7210.75+2347+1710+4285+4179.2+671.6+525.75+779.5+7265+779.5+1778.5+779.5+3579.27+1736.07+779.5+5982.06+8540.32</f>
        <v>52928.52</v>
      </c>
      <c r="C47" s="191"/>
      <c r="D47" s="183"/>
      <c r="E47" s="192"/>
      <c r="F47" s="191"/>
      <c r="G47" s="185"/>
    </row>
    <row r="48" spans="1:7">
      <c r="A48" s="198"/>
      <c r="B48" s="191"/>
      <c r="C48" s="191"/>
      <c r="D48" s="183"/>
      <c r="E48" s="192"/>
      <c r="F48" s="191"/>
      <c r="G48" s="185"/>
    </row>
    <row r="49" spans="1:7">
      <c r="A49" s="198"/>
      <c r="B49" s="195"/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203635.97</v>
      </c>
      <c r="C53" s="200">
        <f>SUM(C44:C52)</f>
        <v>3290.7599999999998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214679.65000000011</v>
      </c>
      <c r="C54" s="200">
        <f>SUM(C44:C52)</f>
        <v>3290.7599999999998</v>
      </c>
      <c r="D54" s="235">
        <f>B54</f>
        <v>214679.65000000011</v>
      </c>
      <c r="E54" s="183"/>
      <c r="F54" s="173">
        <f>SUM(F44:F53)</f>
        <v>0</v>
      </c>
      <c r="G54" s="185"/>
    </row>
    <row r="56" spans="1:7">
      <c r="D56" s="4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4" workbookViewId="0">
      <selection activeCell="D54" sqref="D54"/>
    </sheetView>
  </sheetViews>
  <sheetFormatPr defaultRowHeight="12.75"/>
  <cols>
    <col min="1" max="1" width="11.28515625" customWidth="1"/>
    <col min="2" max="2" width="11.85546875" customWidth="1"/>
    <col min="3" max="5" width="11.71093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63971.510000000126</v>
      </c>
      <c r="D4" s="413"/>
      <c r="E4" s="205"/>
      <c r="F4" s="153"/>
      <c r="G4" s="212">
        <f>B4+F4</f>
        <v>0</v>
      </c>
    </row>
    <row r="5" spans="1:7">
      <c r="A5" s="154">
        <v>43438</v>
      </c>
      <c r="B5" s="429">
        <v>18787.490000000002</v>
      </c>
      <c r="C5" s="430"/>
      <c r="D5" s="156"/>
      <c r="E5" s="157"/>
      <c r="F5" s="158"/>
      <c r="G5" s="211">
        <f t="shared" ref="G5:G36" si="0">SUM(B5:F5)</f>
        <v>18787.490000000002</v>
      </c>
    </row>
    <row r="6" spans="1:7">
      <c r="A6" s="154">
        <v>43439</v>
      </c>
      <c r="B6" s="429"/>
      <c r="C6" s="429">
        <v>60412.21</v>
      </c>
      <c r="D6" s="157"/>
      <c r="E6" s="157"/>
      <c r="F6" s="159"/>
      <c r="G6" s="211">
        <f t="shared" si="0"/>
        <v>60412.21</v>
      </c>
    </row>
    <row r="7" spans="1:7">
      <c r="A7" s="154">
        <v>43440</v>
      </c>
      <c r="B7" s="429">
        <f>37119.18</f>
        <v>37119.18</v>
      </c>
      <c r="C7" s="431">
        <v>12834.23</v>
      </c>
      <c r="D7" s="156"/>
      <c r="E7" s="155"/>
      <c r="F7" s="159"/>
      <c r="G7" s="211">
        <f t="shared" si="0"/>
        <v>49953.41</v>
      </c>
    </row>
    <row r="8" spans="1:7">
      <c r="A8" s="154">
        <v>43441</v>
      </c>
      <c r="B8" s="429">
        <f>1585.05+22215.88</f>
        <v>23800.93</v>
      </c>
      <c r="C8" s="431">
        <v>14824.87</v>
      </c>
      <c r="D8" s="162"/>
      <c r="E8" s="162"/>
      <c r="F8" s="159"/>
      <c r="G8" s="211">
        <f t="shared" si="0"/>
        <v>38625.800000000003</v>
      </c>
    </row>
    <row r="9" spans="1:7">
      <c r="A9" s="161">
        <v>43444</v>
      </c>
      <c r="B9" s="429">
        <f>76625.52+14051.74</f>
        <v>90677.260000000009</v>
      </c>
      <c r="C9" s="429">
        <f>7461.19+2350.12</f>
        <v>9811.31</v>
      </c>
      <c r="D9" s="162"/>
      <c r="E9" s="162"/>
      <c r="F9" s="159"/>
      <c r="G9" s="211">
        <f t="shared" si="0"/>
        <v>100488.57</v>
      </c>
    </row>
    <row r="10" spans="1:7">
      <c r="A10" s="161">
        <v>43445</v>
      </c>
      <c r="B10" s="429">
        <v>28491.59</v>
      </c>
      <c r="C10" s="431">
        <v>4941.62</v>
      </c>
      <c r="D10" s="162"/>
      <c r="E10" s="162"/>
      <c r="F10" s="159"/>
      <c r="G10" s="211">
        <f t="shared" si="0"/>
        <v>33433.21</v>
      </c>
    </row>
    <row r="11" spans="1:7">
      <c r="A11" s="161">
        <v>43446</v>
      </c>
      <c r="B11" s="429">
        <v>15367.59</v>
      </c>
      <c r="C11" s="429">
        <v>11375.03</v>
      </c>
      <c r="D11" s="162"/>
      <c r="E11" s="162"/>
      <c r="F11" s="158"/>
      <c r="G11" s="211">
        <f t="shared" si="0"/>
        <v>26742.620000000003</v>
      </c>
    </row>
    <row r="12" spans="1:7">
      <c r="A12" s="161">
        <v>43447</v>
      </c>
      <c r="B12" s="429">
        <v>15621.62</v>
      </c>
      <c r="C12" s="429">
        <v>4051.2</v>
      </c>
      <c r="D12" s="162"/>
      <c r="E12" s="162"/>
      <c r="F12" s="158"/>
      <c r="G12" s="211">
        <f t="shared" si="0"/>
        <v>19672.82</v>
      </c>
    </row>
    <row r="13" spans="1:7">
      <c r="A13" s="161">
        <v>43448</v>
      </c>
      <c r="B13" s="429">
        <v>15159.16</v>
      </c>
      <c r="C13" s="429">
        <v>2797.14</v>
      </c>
      <c r="D13" s="163"/>
      <c r="E13" s="162"/>
      <c r="F13" s="158"/>
      <c r="G13" s="211">
        <f t="shared" si="0"/>
        <v>17956.3</v>
      </c>
    </row>
    <row r="14" spans="1:7">
      <c r="A14" s="161">
        <v>43451</v>
      </c>
      <c r="B14" s="429">
        <v>13892.48</v>
      </c>
      <c r="C14" s="429">
        <v>932.38</v>
      </c>
      <c r="D14" s="162"/>
      <c r="E14" s="162"/>
      <c r="F14" s="158"/>
      <c r="G14" s="211">
        <f t="shared" si="0"/>
        <v>14824.859999999999</v>
      </c>
    </row>
    <row r="15" spans="1:7">
      <c r="A15" s="161">
        <v>43452</v>
      </c>
      <c r="B15" s="155">
        <v>1212.0999999999999</v>
      </c>
      <c r="C15" s="160"/>
      <c r="D15" s="162"/>
      <c r="E15" s="162"/>
      <c r="F15" s="159"/>
      <c r="G15" s="211">
        <f t="shared" si="0"/>
        <v>1212.0999999999999</v>
      </c>
    </row>
    <row r="16" spans="1:7">
      <c r="A16" s="161">
        <v>43453</v>
      </c>
      <c r="B16" s="191"/>
      <c r="C16" s="191">
        <v>634.02</v>
      </c>
      <c r="D16" s="208"/>
      <c r="E16" s="165"/>
      <c r="F16" s="166"/>
      <c r="G16" s="211">
        <f t="shared" si="0"/>
        <v>634.02</v>
      </c>
    </row>
    <row r="17" spans="1:10">
      <c r="A17" s="161">
        <v>43454</v>
      </c>
      <c r="B17" s="436">
        <f>7396.11+7424.59+8000</f>
        <v>22820.7</v>
      </c>
      <c r="C17" s="208">
        <v>1398.57</v>
      </c>
      <c r="D17" s="208"/>
      <c r="E17" s="165"/>
      <c r="F17" s="166"/>
      <c r="G17" s="211">
        <f t="shared" si="0"/>
        <v>24219.27</v>
      </c>
    </row>
    <row r="18" spans="1:10">
      <c r="A18" s="161">
        <v>43455</v>
      </c>
      <c r="B18" s="207">
        <v>1118.8499999999999</v>
      </c>
      <c r="C18" s="208">
        <v>2666.61</v>
      </c>
      <c r="D18" s="208"/>
      <c r="E18" s="165"/>
      <c r="F18" s="166"/>
      <c r="G18" s="211">
        <f t="shared" si="0"/>
        <v>3785.46</v>
      </c>
      <c r="J18">
        <v>979</v>
      </c>
    </row>
    <row r="19" spans="1:10">
      <c r="A19" s="161">
        <v>43458</v>
      </c>
      <c r="B19" s="207">
        <v>2271.52</v>
      </c>
      <c r="C19" s="208">
        <v>3578.23</v>
      </c>
      <c r="D19" s="208"/>
      <c r="E19" s="165"/>
      <c r="F19" s="166"/>
      <c r="G19" s="211">
        <f t="shared" si="0"/>
        <v>5849.75</v>
      </c>
      <c r="J19">
        <v>1664.3</v>
      </c>
    </row>
    <row r="20" spans="1:10">
      <c r="A20" s="161">
        <v>43459</v>
      </c>
      <c r="B20" s="191">
        <v>1000</v>
      </c>
      <c r="C20" s="209"/>
      <c r="D20" s="168"/>
      <c r="E20" s="165"/>
      <c r="F20" s="166"/>
      <c r="G20" s="211">
        <f t="shared" si="0"/>
        <v>1000</v>
      </c>
      <c r="J20">
        <v>783.2</v>
      </c>
    </row>
    <row r="21" spans="1:10">
      <c r="A21" s="161">
        <v>43460</v>
      </c>
      <c r="B21" s="191">
        <v>2144.4699999999998</v>
      </c>
      <c r="C21" s="208"/>
      <c r="D21" s="165"/>
      <c r="E21" s="165"/>
      <c r="F21" s="169"/>
      <c r="G21" s="211">
        <f t="shared" si="0"/>
        <v>2144.4699999999998</v>
      </c>
      <c r="J21">
        <v>783.2</v>
      </c>
    </row>
    <row r="22" spans="1:10">
      <c r="A22" s="161">
        <v>43462</v>
      </c>
      <c r="B22" s="191">
        <v>2237.7199999999998</v>
      </c>
      <c r="C22" s="208"/>
      <c r="D22" s="165"/>
      <c r="E22" s="165"/>
      <c r="F22" s="170"/>
      <c r="G22" s="211">
        <f t="shared" si="0"/>
        <v>2237.7199999999998</v>
      </c>
      <c r="J22">
        <v>1414.66</v>
      </c>
    </row>
    <row r="23" spans="1:10">
      <c r="A23" s="161">
        <v>43463</v>
      </c>
      <c r="B23" s="191">
        <v>3076.86</v>
      </c>
      <c r="C23" s="208">
        <v>559.42999999999995</v>
      </c>
      <c r="D23" s="165"/>
      <c r="E23" s="165"/>
      <c r="F23" s="170"/>
      <c r="G23" s="211">
        <f t="shared" si="0"/>
        <v>3636.29</v>
      </c>
      <c r="J23" s="124">
        <f>SUM(J18:J22)</f>
        <v>5624.36</v>
      </c>
    </row>
    <row r="24" spans="1:10">
      <c r="A24" s="161">
        <v>43464</v>
      </c>
      <c r="B24" s="191">
        <v>2000</v>
      </c>
      <c r="C24" s="208"/>
      <c r="D24" s="165"/>
      <c r="E24" s="165"/>
      <c r="F24" s="170"/>
      <c r="G24" s="211">
        <f t="shared" si="0"/>
        <v>2000</v>
      </c>
      <c r="H24" t="s">
        <v>182</v>
      </c>
    </row>
    <row r="25" spans="1:10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296799.51999999996</v>
      </c>
      <c r="C37" s="173">
        <f t="shared" si="1"/>
        <v>130816.84999999999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427616.36999999994</v>
      </c>
    </row>
    <row r="38" spans="1:7">
      <c r="A38" s="174" t="s">
        <v>130</v>
      </c>
      <c r="B38" s="175">
        <f>SUM(B37+C37)-C53+D37</f>
        <v>427498.86999999994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491470.38000000006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43441</v>
      </c>
      <c r="B44" s="370">
        <f>3092.76+2050+756.54+14912.25+3778+10214.15+7897.2+3878.02+232.01+9817.5+7560.8+12402.85+1100+1901.64+550+884.1+2479+756.54+3300+756.54+756.54+3952.8</f>
        <v>93029.239999999991</v>
      </c>
      <c r="C44" s="191">
        <v>117.5</v>
      </c>
      <c r="D44" s="183"/>
      <c r="E44" s="192"/>
      <c r="F44" s="193"/>
      <c r="G44" s="185"/>
    </row>
    <row r="45" spans="1:7" ht="15" customHeight="1">
      <c r="A45" s="194">
        <v>43448</v>
      </c>
      <c r="B45" s="191">
        <f>254+625+900+1400+3300+3952.8+1100+4599.3+589.4+7854+756.54+3268.7+2811.6+756.54+10542.76+5931.04+2585.5+756.54+5453.95+7854+7682.45+550+756.54+9608.59+7854+18254.02+12600.74</f>
        <v>122598.01</v>
      </c>
      <c r="C45" s="191"/>
      <c r="D45" s="183"/>
      <c r="E45" s="192"/>
      <c r="F45" s="196"/>
      <c r="G45" s="185"/>
    </row>
    <row r="46" spans="1:7">
      <c r="A46" s="194">
        <v>43455</v>
      </c>
      <c r="B46" s="191">
        <f>2740+8640+5094.75+4100+756.54+3952.8+3828+5520+756.54+7360+5985.02+10861.4+1200+756.54+10476.95+3778+4808.5+880+2100.62+7360+2400+3828+3165.94+4400+1061.06+756.54-15.6</f>
        <v>106551.59999999998</v>
      </c>
      <c r="C46" s="427"/>
      <c r="D46" s="183"/>
      <c r="E46" s="192"/>
      <c r="F46" s="191"/>
      <c r="G46" s="185"/>
    </row>
    <row r="47" spans="1:7">
      <c r="A47" s="198">
        <v>43460</v>
      </c>
      <c r="B47" s="191">
        <f>2750+3828+2088+1650+4500+5600+2090+11040+6478.2+5520+938.35+1992.24+756.54+4075.8+756.54+880+938.35+10721.89+4131.1</f>
        <v>70735.010000000009</v>
      </c>
      <c r="C47" s="191"/>
      <c r="D47" s="183"/>
      <c r="E47" s="192"/>
      <c r="F47" s="191"/>
      <c r="G47" s="185"/>
    </row>
    <row r="48" spans="1:7">
      <c r="A48" s="198">
        <v>43461</v>
      </c>
      <c r="B48" s="191">
        <f>3828+938.35+1180.46+5830.77</f>
        <v>11777.580000000002</v>
      </c>
      <c r="C48" s="191"/>
      <c r="D48" s="183"/>
      <c r="E48" s="192"/>
      <c r="F48" s="191"/>
      <c r="G48" s="185"/>
    </row>
    <row r="49" spans="1:7">
      <c r="A49" s="198"/>
      <c r="B49" s="195"/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404691.44</v>
      </c>
      <c r="C53" s="200">
        <f>SUM(C44:C52)</f>
        <v>117.5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86778.940000000061</v>
      </c>
      <c r="C54" s="200">
        <f>SUM(C44:C52)</f>
        <v>117.5</v>
      </c>
      <c r="D54" s="235">
        <f>B54</f>
        <v>86778.940000000061</v>
      </c>
      <c r="E54" s="183"/>
      <c r="F54" s="173">
        <f>SUM(F44:F53)</f>
        <v>0</v>
      </c>
      <c r="G54" s="185"/>
    </row>
    <row r="56" spans="1:7">
      <c r="D56" s="4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5" workbookViewId="0">
      <selection activeCell="B28" sqref="B28"/>
    </sheetView>
  </sheetViews>
  <sheetFormatPr defaultRowHeight="12.75"/>
  <cols>
    <col min="1" max="1" width="11.285156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121182.53999999992</v>
      </c>
      <c r="D4" s="413"/>
      <c r="E4" s="205"/>
      <c r="F4" s="153"/>
      <c r="G4" s="212">
        <f>B4+F4</f>
        <v>0</v>
      </c>
    </row>
    <row r="5" spans="1:7">
      <c r="A5" s="154">
        <v>43374</v>
      </c>
      <c r="B5" s="429">
        <f>2000+3490.35</f>
        <v>5490.35</v>
      </c>
      <c r="C5" s="430">
        <v>1362.09</v>
      </c>
      <c r="D5" s="156"/>
      <c r="E5" s="157"/>
      <c r="F5" s="158"/>
      <c r="G5" s="211">
        <f t="shared" ref="G5:G36" si="0">SUM(B5:F5)</f>
        <v>6852.4400000000005</v>
      </c>
    </row>
    <row r="6" spans="1:7">
      <c r="A6" s="154">
        <v>43375</v>
      </c>
      <c r="B6" s="429">
        <v>2477.3000000000002</v>
      </c>
      <c r="C6" s="429"/>
      <c r="D6" s="157"/>
      <c r="E6" s="157"/>
      <c r="F6" s="159"/>
      <c r="G6" s="211">
        <f t="shared" si="0"/>
        <v>2477.3000000000002</v>
      </c>
    </row>
    <row r="7" spans="1:7">
      <c r="A7" s="154">
        <v>43376</v>
      </c>
      <c r="B7" s="429">
        <v>38476.14</v>
      </c>
      <c r="C7" s="431">
        <v>3867.47</v>
      </c>
      <c r="D7" s="156"/>
      <c r="E7" s="155"/>
      <c r="F7" s="159"/>
      <c r="G7" s="211">
        <f t="shared" si="0"/>
        <v>42343.61</v>
      </c>
    </row>
    <row r="8" spans="1:7">
      <c r="A8" s="154">
        <v>43377</v>
      </c>
      <c r="B8" s="429">
        <v>22141.88</v>
      </c>
      <c r="C8" s="431">
        <v>4290.57</v>
      </c>
      <c r="D8" s="162"/>
      <c r="E8" s="162"/>
      <c r="F8" s="159"/>
      <c r="G8" s="211">
        <f t="shared" si="0"/>
        <v>26432.45</v>
      </c>
    </row>
    <row r="9" spans="1:7">
      <c r="A9" s="161">
        <v>43378</v>
      </c>
      <c r="B9" s="429">
        <v>16441.810000000001</v>
      </c>
      <c r="C9" s="429">
        <v>6214.1</v>
      </c>
      <c r="D9" s="162"/>
      <c r="E9" s="162"/>
      <c r="F9" s="159"/>
      <c r="G9" s="211">
        <f t="shared" si="0"/>
        <v>22655.910000000003</v>
      </c>
    </row>
    <row r="10" spans="1:7">
      <c r="A10" s="161">
        <v>43381</v>
      </c>
      <c r="B10" s="429">
        <f>32418.51+6069.8</f>
        <v>38488.31</v>
      </c>
      <c r="C10" s="431">
        <f>2055.9+7611.73</f>
        <v>9667.6299999999992</v>
      </c>
      <c r="D10" s="162"/>
      <c r="E10" s="162"/>
      <c r="F10" s="159"/>
      <c r="G10" s="211">
        <f t="shared" si="0"/>
        <v>48155.939999999995</v>
      </c>
    </row>
    <row r="11" spans="1:7">
      <c r="A11" s="161">
        <v>43382</v>
      </c>
      <c r="B11" s="429">
        <v>15987.91</v>
      </c>
      <c r="C11" s="429"/>
      <c r="D11" s="162"/>
      <c r="E11" s="162"/>
      <c r="F11" s="158"/>
      <c r="G11" s="211">
        <f t="shared" si="0"/>
        <v>15987.91</v>
      </c>
    </row>
    <row r="12" spans="1:7">
      <c r="A12" s="161">
        <v>43383</v>
      </c>
      <c r="B12" s="429">
        <v>22244.41</v>
      </c>
      <c r="C12" s="429">
        <v>3409.47</v>
      </c>
      <c r="D12" s="162"/>
      <c r="E12" s="162"/>
      <c r="F12" s="158"/>
      <c r="G12" s="211">
        <f t="shared" si="0"/>
        <v>25653.88</v>
      </c>
    </row>
    <row r="13" spans="1:7">
      <c r="A13" s="161">
        <v>43384</v>
      </c>
      <c r="B13" s="429">
        <v>33472.42</v>
      </c>
      <c r="C13" s="429">
        <v>5826.6</v>
      </c>
      <c r="D13" s="163"/>
      <c r="E13" s="162"/>
      <c r="F13" s="158"/>
      <c r="G13" s="211">
        <f t="shared" si="0"/>
        <v>39299.019999999997</v>
      </c>
    </row>
    <row r="14" spans="1:7">
      <c r="A14" s="161">
        <v>43385</v>
      </c>
      <c r="B14" s="429">
        <v>20052.060000000001</v>
      </c>
      <c r="C14" s="429">
        <v>8133.36</v>
      </c>
      <c r="D14" s="162"/>
      <c r="E14" s="162"/>
      <c r="F14" s="158"/>
      <c r="G14" s="211">
        <f t="shared" si="0"/>
        <v>28185.420000000002</v>
      </c>
    </row>
    <row r="15" spans="1:7">
      <c r="A15" s="161">
        <v>43388</v>
      </c>
      <c r="B15" s="155">
        <f>1958+13706+25538</f>
        <v>41202</v>
      </c>
      <c r="C15" s="160">
        <f>5233.82+8908.9</f>
        <v>14142.72</v>
      </c>
      <c r="D15" s="162"/>
      <c r="E15" s="162"/>
      <c r="F15" s="159"/>
      <c r="G15" s="211">
        <f t="shared" si="0"/>
        <v>55344.72</v>
      </c>
    </row>
    <row r="16" spans="1:7">
      <c r="A16" s="161">
        <v>43389</v>
      </c>
      <c r="B16" s="191">
        <v>20238.939999999999</v>
      </c>
      <c r="C16" s="191">
        <v>1076.9000000000001</v>
      </c>
      <c r="D16" s="208"/>
      <c r="E16" s="165"/>
      <c r="F16" s="166"/>
      <c r="G16" s="211">
        <f t="shared" si="0"/>
        <v>21315.84</v>
      </c>
    </row>
    <row r="17" spans="1:10">
      <c r="A17" s="161">
        <v>43390</v>
      </c>
      <c r="B17" s="436">
        <f>1860.1+12824.9</f>
        <v>14685</v>
      </c>
      <c r="C17" s="208">
        <v>6891.31</v>
      </c>
      <c r="D17" s="165"/>
      <c r="E17" s="165"/>
      <c r="F17" s="166"/>
      <c r="G17" s="211">
        <f t="shared" si="0"/>
        <v>21576.31</v>
      </c>
    </row>
    <row r="18" spans="1:10">
      <c r="A18" s="161">
        <v>43391</v>
      </c>
      <c r="B18" s="207">
        <v>5895</v>
      </c>
      <c r="C18" s="208">
        <v>3328.6</v>
      </c>
      <c r="D18" s="165"/>
      <c r="E18" s="165"/>
      <c r="F18" s="166"/>
      <c r="G18" s="211">
        <f t="shared" si="0"/>
        <v>9223.6</v>
      </c>
      <c r="J18">
        <v>979</v>
      </c>
    </row>
    <row r="19" spans="1:10">
      <c r="A19" s="161">
        <v>43392</v>
      </c>
      <c r="B19" s="207">
        <f>2906.95</f>
        <v>2906.95</v>
      </c>
      <c r="C19" s="208">
        <v>3583.2</v>
      </c>
      <c r="D19" s="165"/>
      <c r="E19" s="165"/>
      <c r="F19" s="166"/>
      <c r="G19" s="211">
        <f t="shared" si="0"/>
        <v>6490.15</v>
      </c>
      <c r="J19">
        <v>1664.3</v>
      </c>
    </row>
    <row r="20" spans="1:10">
      <c r="A20" s="161">
        <v>43395</v>
      </c>
      <c r="B20" s="191">
        <f>12586.96+4895</f>
        <v>17481.96</v>
      </c>
      <c r="C20" s="209">
        <v>979</v>
      </c>
      <c r="D20" s="168"/>
      <c r="E20" s="165"/>
      <c r="F20" s="166"/>
      <c r="G20" s="211">
        <f t="shared" si="0"/>
        <v>18460.96</v>
      </c>
      <c r="J20">
        <v>783.2</v>
      </c>
    </row>
    <row r="21" spans="1:10">
      <c r="A21" s="161">
        <v>43396</v>
      </c>
      <c r="B21" s="191">
        <f>2302.78</f>
        <v>2302.7800000000002</v>
      </c>
      <c r="C21" s="208">
        <v>1248.23</v>
      </c>
      <c r="D21" s="165"/>
      <c r="E21" s="165"/>
      <c r="F21" s="169"/>
      <c r="G21" s="211">
        <f t="shared" si="0"/>
        <v>3551.01</v>
      </c>
      <c r="J21">
        <v>783.2</v>
      </c>
    </row>
    <row r="22" spans="1:10">
      <c r="A22" s="161">
        <v>43397</v>
      </c>
      <c r="B22" s="191">
        <v>3055.9</v>
      </c>
      <c r="C22" s="208">
        <v>3450.98</v>
      </c>
      <c r="D22" s="165"/>
      <c r="E22" s="165"/>
      <c r="F22" s="170"/>
      <c r="G22" s="211">
        <f t="shared" si="0"/>
        <v>6506.88</v>
      </c>
      <c r="J22">
        <v>1414.66</v>
      </c>
    </row>
    <row r="23" spans="1:10">
      <c r="A23" s="161">
        <v>43398</v>
      </c>
      <c r="B23" s="191">
        <v>3328.6</v>
      </c>
      <c r="C23" s="208">
        <v>1928</v>
      </c>
      <c r="D23" s="165"/>
      <c r="E23" s="165"/>
      <c r="F23" s="170"/>
      <c r="G23" s="211">
        <f t="shared" si="0"/>
        <v>5256.6</v>
      </c>
      <c r="J23" s="124">
        <f>SUM(J18:J22)</f>
        <v>5624.36</v>
      </c>
    </row>
    <row r="24" spans="1:10">
      <c r="A24" s="161">
        <v>43399</v>
      </c>
      <c r="B24" s="191">
        <v>3337.54</v>
      </c>
      <c r="C24" s="208"/>
      <c r="D24" s="165"/>
      <c r="E24" s="165"/>
      <c r="F24" s="170"/>
      <c r="G24" s="211">
        <f t="shared" si="0"/>
        <v>3337.54</v>
      </c>
      <c r="H24" t="s">
        <v>182</v>
      </c>
    </row>
    <row r="25" spans="1:10">
      <c r="A25" s="161">
        <v>43402</v>
      </c>
      <c r="B25" s="191">
        <v>3088.25</v>
      </c>
      <c r="C25" s="208">
        <v>1566.4</v>
      </c>
      <c r="D25" s="165"/>
      <c r="E25" s="165"/>
      <c r="F25" s="170"/>
      <c r="G25" s="211">
        <f t="shared" si="0"/>
        <v>4654.6499999999996</v>
      </c>
    </row>
    <row r="26" spans="1:10">
      <c r="A26" s="161">
        <v>43403</v>
      </c>
      <c r="B26" s="191">
        <v>1958</v>
      </c>
      <c r="C26" s="208"/>
      <c r="D26" s="165"/>
      <c r="E26" s="165"/>
      <c r="F26" s="170"/>
      <c r="G26" s="211">
        <f t="shared" si="0"/>
        <v>1958</v>
      </c>
    </row>
    <row r="27" spans="1:10">
      <c r="A27" s="161">
        <v>43404</v>
      </c>
      <c r="B27" s="191">
        <v>2400</v>
      </c>
      <c r="C27" s="208">
        <v>2937</v>
      </c>
      <c r="D27" s="165"/>
      <c r="E27" s="165"/>
      <c r="F27" s="170"/>
      <c r="G27" s="211">
        <f t="shared" si="0"/>
        <v>5337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337153.51</v>
      </c>
      <c r="C37" s="173">
        <f t="shared" si="1"/>
        <v>83903.62999999999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421057.14</v>
      </c>
    </row>
    <row r="38" spans="1:7">
      <c r="A38" s="174" t="s">
        <v>130</v>
      </c>
      <c r="B38" s="175">
        <f>SUM(B37+C37)-C53</f>
        <v>416464.39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537646.92999999993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43376</v>
      </c>
      <c r="B44" s="370">
        <f>5003.2+3373.92+756.54+9946.97+11586.34+2636+224.9+3418.32+3382.5+745.2+6936.07+4276.8+2489.6+330+756.54+7193.32</f>
        <v>63056.22</v>
      </c>
      <c r="C44" s="191">
        <v>1094.7</v>
      </c>
      <c r="D44" s="183"/>
      <c r="E44" s="192"/>
      <c r="F44" s="193"/>
      <c r="G44" s="185"/>
    </row>
    <row r="45" spans="1:7" ht="15" customHeight="1">
      <c r="A45" s="194">
        <v>43378</v>
      </c>
      <c r="B45" s="191"/>
      <c r="C45" s="191">
        <v>2087.4</v>
      </c>
      <c r="D45" s="183"/>
      <c r="E45" s="192"/>
      <c r="F45" s="196"/>
      <c r="G45" s="185"/>
    </row>
    <row r="46" spans="1:7">
      <c r="A46" s="194">
        <v>43381</v>
      </c>
      <c r="B46" s="191">
        <f>1462.69</f>
        <v>1462.69</v>
      </c>
      <c r="C46" s="427"/>
      <c r="D46" s="183"/>
      <c r="E46" s="192"/>
      <c r="F46" s="191"/>
      <c r="G46" s="185"/>
    </row>
    <row r="47" spans="1:7">
      <c r="A47" s="198">
        <v>43383</v>
      </c>
      <c r="B47" s="191">
        <f>1490+330+3061.75+5102.8+8961.96+756.54+756.54+756.54+9951.62+4276.8+3752.4+3936.24+1951+756.54+17049.14+7897.2+3778+10004.07+1250.8+756.54+1734.08</f>
        <v>88310.560000000012</v>
      </c>
      <c r="C47" s="191"/>
      <c r="D47" s="183"/>
      <c r="E47" s="192"/>
      <c r="F47" s="191"/>
      <c r="G47" s="185"/>
    </row>
    <row r="48" spans="1:7">
      <c r="A48" s="198">
        <v>43389</v>
      </c>
      <c r="B48" s="191">
        <f>1781.25+330+756.54+756.54+10293.58+2489.6+4276.8+884.1+7560.21+7897.2+3936.24+2601.12+756.54+5003.2+756.54+756.54+3778+7232.65+2536.3</f>
        <v>64382.95</v>
      </c>
      <c r="C48" s="191"/>
      <c r="D48" s="183"/>
      <c r="E48" s="192"/>
      <c r="F48" s="191"/>
      <c r="G48" s="185"/>
    </row>
    <row r="49" spans="1:7">
      <c r="A49" s="198">
        <v>43395</v>
      </c>
      <c r="B49" s="195">
        <f>4042.62+756.54+756.54+5922.9+11586.34+4682.4+5462.8+756.54</f>
        <v>33966.68</v>
      </c>
      <c r="C49" s="191"/>
      <c r="D49" s="183"/>
      <c r="E49" s="192"/>
      <c r="F49" s="191"/>
      <c r="G49" s="185"/>
    </row>
    <row r="50" spans="1:7">
      <c r="A50" s="198">
        <v>43402</v>
      </c>
      <c r="B50" s="195">
        <f>7960.09+3164+7897.2+756.54+4772.4+2552.85+9817.5+1734.08+2489.6+4979.2+7232.65+3752.4+756.54+1250.8+756.54+756.54+745.2+330+12766.43+2731.4+3778+9817.5+4276.8+4229.22+756.54</f>
        <v>100060.01999999999</v>
      </c>
      <c r="C50" s="191">
        <v>1410.65</v>
      </c>
      <c r="D50" s="183"/>
      <c r="E50" s="192"/>
      <c r="F50" s="191"/>
      <c r="G50" s="185"/>
    </row>
    <row r="51" spans="1:7">
      <c r="A51" s="198">
        <v>43404</v>
      </c>
      <c r="B51" s="195">
        <f>9817.5+756.54+4276.8+330+756.54+7854+10352.57+6270.35+756.54+1239.5+3936.24+5003.2+10131.27+1247.4+1560.8+4242.87+3936.24+9817.5+7560.8+7897.2+3382.5</f>
        <v>101126.36</v>
      </c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452365.48</v>
      </c>
      <c r="C53" s="200">
        <f>SUM(C44:C52)</f>
        <v>4592.75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85281.449999999953</v>
      </c>
      <c r="C54" s="200">
        <f>SUM(C44:C52)</f>
        <v>4592.75</v>
      </c>
      <c r="D54" s="235">
        <f>B54</f>
        <v>85281.449999999953</v>
      </c>
      <c r="E54" s="183"/>
      <c r="F54" s="173">
        <f>SUM(F44:F53)</f>
        <v>0</v>
      </c>
      <c r="G54" s="185"/>
    </row>
    <row r="56" spans="1:7">
      <c r="D56" s="4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9" workbookViewId="0">
      <selection activeCell="B50" sqref="B50"/>
    </sheetView>
  </sheetViews>
  <sheetFormatPr defaultRowHeight="12.75"/>
  <cols>
    <col min="1" max="1" width="11.285156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26985.29</v>
      </c>
      <c r="D4" s="413"/>
      <c r="E4" s="205"/>
      <c r="F4" s="153"/>
      <c r="G4" s="212">
        <f>B4+F4</f>
        <v>0</v>
      </c>
    </row>
    <row r="5" spans="1:7">
      <c r="A5" s="154">
        <v>43346</v>
      </c>
      <c r="B5" s="429">
        <f>1872.87+19274.4+1787.74</f>
        <v>22935.010000000002</v>
      </c>
      <c r="C5" s="430">
        <v>2639.05</v>
      </c>
      <c r="D5" s="156"/>
      <c r="E5" s="157"/>
      <c r="F5" s="158"/>
      <c r="G5" s="211">
        <f t="shared" ref="G5:G36" si="0">SUM(B5:F5)</f>
        <v>25574.06</v>
      </c>
    </row>
    <row r="6" spans="1:7">
      <c r="A6" s="154">
        <v>43347</v>
      </c>
      <c r="B6" s="429">
        <v>7529.79</v>
      </c>
      <c r="C6" s="429"/>
      <c r="D6" s="157"/>
      <c r="E6" s="157"/>
      <c r="F6" s="159"/>
      <c r="G6" s="211">
        <f t="shared" si="0"/>
        <v>7529.79</v>
      </c>
    </row>
    <row r="7" spans="1:7">
      <c r="A7" s="154">
        <v>43348</v>
      </c>
      <c r="B7" s="429">
        <v>8934.23</v>
      </c>
      <c r="C7" s="431">
        <v>85.13</v>
      </c>
      <c r="D7" s="156"/>
      <c r="E7" s="155"/>
      <c r="F7" s="159"/>
      <c r="G7" s="211">
        <f t="shared" si="0"/>
        <v>9019.3599999999988</v>
      </c>
    </row>
    <row r="8" spans="1:7">
      <c r="A8" s="154">
        <v>43349</v>
      </c>
      <c r="B8" s="429">
        <v>20913.53</v>
      </c>
      <c r="C8" s="431">
        <v>766.17</v>
      </c>
      <c r="D8" s="162"/>
      <c r="E8" s="162"/>
      <c r="F8" s="159"/>
      <c r="G8" s="211">
        <f t="shared" si="0"/>
        <v>21679.699999999997</v>
      </c>
    </row>
    <row r="9" spans="1:7">
      <c r="A9" s="161">
        <v>43350</v>
      </c>
      <c r="B9" s="429">
        <v>13197.14</v>
      </c>
      <c r="C9" s="429">
        <v>3094.49</v>
      </c>
      <c r="D9" s="162"/>
      <c r="E9" s="162"/>
      <c r="F9" s="159"/>
      <c r="G9" s="211">
        <f t="shared" si="0"/>
        <v>16291.63</v>
      </c>
    </row>
    <row r="10" spans="1:7">
      <c r="A10" s="161">
        <v>43353</v>
      </c>
      <c r="B10" s="429">
        <f>33200.43+11009.93</f>
        <v>44210.36</v>
      </c>
      <c r="C10" s="431">
        <f>2045.26+2864.35</f>
        <v>4909.6099999999997</v>
      </c>
      <c r="D10" s="162"/>
      <c r="E10" s="162"/>
      <c r="F10" s="159"/>
      <c r="G10" s="211">
        <f t="shared" si="0"/>
        <v>49119.97</v>
      </c>
    </row>
    <row r="11" spans="1:7">
      <c r="A11" s="161">
        <v>43354</v>
      </c>
      <c r="B11" s="429">
        <v>30942.38</v>
      </c>
      <c r="C11" s="429">
        <v>1343.36</v>
      </c>
      <c r="D11" s="162"/>
      <c r="E11" s="162"/>
      <c r="F11" s="158"/>
      <c r="G11" s="211">
        <f t="shared" si="0"/>
        <v>32285.74</v>
      </c>
    </row>
    <row r="12" spans="1:7">
      <c r="A12" s="161">
        <v>43355</v>
      </c>
      <c r="B12" s="429">
        <v>13503.03</v>
      </c>
      <c r="C12" s="429">
        <v>3301.35</v>
      </c>
      <c r="D12" s="162"/>
      <c r="E12" s="162"/>
      <c r="F12" s="158"/>
      <c r="G12" s="211">
        <f t="shared" si="0"/>
        <v>16804.38</v>
      </c>
    </row>
    <row r="13" spans="1:7">
      <c r="A13" s="161">
        <v>43356</v>
      </c>
      <c r="B13" s="429">
        <v>18210.98</v>
      </c>
      <c r="C13" s="429">
        <v>3509.92</v>
      </c>
      <c r="D13" s="163"/>
      <c r="E13" s="162"/>
      <c r="F13" s="158"/>
      <c r="G13" s="211">
        <f t="shared" si="0"/>
        <v>21720.9</v>
      </c>
    </row>
    <row r="14" spans="1:7">
      <c r="A14" s="161">
        <v>43357</v>
      </c>
      <c r="B14" s="429">
        <v>18888.599999999999</v>
      </c>
      <c r="C14" s="429">
        <v>3870.88</v>
      </c>
      <c r="D14" s="162"/>
      <c r="E14" s="162"/>
      <c r="F14" s="158"/>
      <c r="G14" s="211">
        <f t="shared" si="0"/>
        <v>22759.48</v>
      </c>
    </row>
    <row r="15" spans="1:7">
      <c r="A15" s="161">
        <v>43360</v>
      </c>
      <c r="B15" s="155">
        <f>15743.39+39348.99+5963.39</f>
        <v>61055.77</v>
      </c>
      <c r="C15" s="160">
        <v>3830.87</v>
      </c>
      <c r="D15" s="162"/>
      <c r="E15" s="162"/>
      <c r="F15" s="159"/>
      <c r="G15" s="211">
        <f t="shared" si="0"/>
        <v>64886.64</v>
      </c>
    </row>
    <row r="16" spans="1:7">
      <c r="A16" s="161">
        <v>43361</v>
      </c>
      <c r="B16" s="191">
        <v>9919.4</v>
      </c>
      <c r="C16" s="191">
        <v>3887.05</v>
      </c>
      <c r="D16" s="208"/>
      <c r="E16" s="165"/>
      <c r="F16" s="166"/>
      <c r="G16" s="211">
        <f t="shared" si="0"/>
        <v>13806.45</v>
      </c>
    </row>
    <row r="17" spans="1:10">
      <c r="A17" s="161">
        <v>43362</v>
      </c>
      <c r="B17" s="207">
        <v>4621.49</v>
      </c>
      <c r="C17" s="208">
        <v>4028.22</v>
      </c>
      <c r="D17" s="165"/>
      <c r="E17" s="165"/>
      <c r="F17" s="166"/>
      <c r="G17" s="211">
        <f t="shared" si="0"/>
        <v>8649.7099999999991</v>
      </c>
    </row>
    <row r="18" spans="1:10">
      <c r="A18" s="161">
        <v>43363</v>
      </c>
      <c r="B18" s="207">
        <v>3147.7</v>
      </c>
      <c r="C18" s="208">
        <v>1722.19</v>
      </c>
      <c r="D18" s="165"/>
      <c r="E18" s="165"/>
      <c r="F18" s="166"/>
      <c r="G18" s="211">
        <f t="shared" si="0"/>
        <v>4869.8899999999994</v>
      </c>
      <c r="J18">
        <v>979</v>
      </c>
    </row>
    <row r="19" spans="1:10">
      <c r="A19" s="161">
        <v>43364</v>
      </c>
      <c r="B19" s="207">
        <v>4126.17</v>
      </c>
      <c r="C19" s="208"/>
      <c r="D19" s="165"/>
      <c r="E19" s="165"/>
      <c r="F19" s="166"/>
      <c r="G19" s="211">
        <f t="shared" si="0"/>
        <v>4126.17</v>
      </c>
      <c r="J19">
        <v>1664.3</v>
      </c>
    </row>
    <row r="20" spans="1:10">
      <c r="A20" s="161">
        <v>43367</v>
      </c>
      <c r="B20" s="191">
        <f>7406.35+1958</f>
        <v>9364.35</v>
      </c>
      <c r="C20" s="209">
        <v>7436.44</v>
      </c>
      <c r="D20" s="168"/>
      <c r="E20" s="165"/>
      <c r="F20" s="166"/>
      <c r="G20" s="211">
        <f t="shared" si="0"/>
        <v>16800.79</v>
      </c>
      <c r="J20">
        <v>783.2</v>
      </c>
    </row>
    <row r="21" spans="1:10">
      <c r="A21" s="161">
        <v>43368</v>
      </c>
      <c r="B21" s="191">
        <v>5754.55</v>
      </c>
      <c r="C21" s="208"/>
      <c r="D21" s="165"/>
      <c r="E21" s="165"/>
      <c r="F21" s="169"/>
      <c r="G21" s="211">
        <f t="shared" si="0"/>
        <v>5754.55</v>
      </c>
      <c r="J21">
        <v>783.2</v>
      </c>
    </row>
    <row r="22" spans="1:10">
      <c r="A22" s="161">
        <v>43369</v>
      </c>
      <c r="B22" s="191">
        <v>1831.15</v>
      </c>
      <c r="C22" s="208"/>
      <c r="D22" s="165"/>
      <c r="E22" s="165"/>
      <c r="F22" s="170"/>
      <c r="G22" s="211">
        <f t="shared" si="0"/>
        <v>1831.15</v>
      </c>
      <c r="J22">
        <v>1414.66</v>
      </c>
    </row>
    <row r="23" spans="1:10">
      <c r="A23" s="161">
        <v>43370</v>
      </c>
      <c r="B23" s="191">
        <v>3588.25</v>
      </c>
      <c r="C23" s="208"/>
      <c r="D23" s="165"/>
      <c r="E23" s="165"/>
      <c r="F23" s="170"/>
      <c r="G23" s="211">
        <f t="shared" si="0"/>
        <v>3588.25</v>
      </c>
      <c r="J23" s="124">
        <f>SUM(J18:J22)</f>
        <v>5624.36</v>
      </c>
    </row>
    <row r="24" spans="1:10">
      <c r="A24" s="161">
        <v>43371</v>
      </c>
      <c r="B24" s="191">
        <v>3916</v>
      </c>
      <c r="C24" s="208"/>
      <c r="D24" s="165"/>
      <c r="E24" s="165"/>
      <c r="F24" s="170"/>
      <c r="G24" s="211">
        <f t="shared" si="0"/>
        <v>3916</v>
      </c>
      <c r="H24" t="s">
        <v>182</v>
      </c>
    </row>
    <row r="25" spans="1:10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306589.88</v>
      </c>
      <c r="C37" s="173">
        <f t="shared" si="1"/>
        <v>44424.73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351014.61000000004</v>
      </c>
    </row>
    <row r="38" spans="1:7">
      <c r="A38" s="174" t="s">
        <v>130</v>
      </c>
      <c r="B38" s="175">
        <f>SUM(B37+C37)-C53</f>
        <v>347572.01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374557.3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43349</v>
      </c>
      <c r="B44" s="370">
        <f>7927.91+2000+4276.8+2952.18+4617.6+7617.32+330+653.87+653.87+2291.88+653.87+1990+589.4+3752.4+1732.25+4979.2</f>
        <v>47018.549999999996</v>
      </c>
      <c r="C44" s="191">
        <f>489.5+1585.05</f>
        <v>2074.5500000000002</v>
      </c>
      <c r="D44" s="183"/>
      <c r="E44" s="192"/>
      <c r="F44" s="193"/>
      <c r="G44" s="185"/>
    </row>
    <row r="45" spans="1:7" ht="15" customHeight="1">
      <c r="A45" s="194">
        <v>43355</v>
      </c>
      <c r="B45" s="191">
        <f>653.87+653.87+3948.6+653.87+2898.5+4276.8+653.87+1889+3948.6+1083.12+653.87+8403.4+4042.62+2601.12+330+2952.18+8903.34+3752.4</f>
        <v>52299.030000000006</v>
      </c>
      <c r="C45" s="191"/>
      <c r="D45" s="183"/>
      <c r="E45" s="192"/>
      <c r="F45" s="196"/>
      <c r="G45" s="185"/>
    </row>
    <row r="46" spans="1:7">
      <c r="A46" s="194">
        <v>43356</v>
      </c>
      <c r="B46" s="191"/>
      <c r="C46" s="427">
        <v>1368.05</v>
      </c>
      <c r="D46" s="183"/>
      <c r="E46" s="192"/>
      <c r="F46" s="191"/>
      <c r="G46" s="185"/>
    </row>
    <row r="47" spans="1:7">
      <c r="A47" s="198">
        <v>43362</v>
      </c>
      <c r="B47" s="191"/>
      <c r="C47" s="191"/>
      <c r="D47" s="183"/>
      <c r="E47" s="192"/>
      <c r="F47" s="191"/>
      <c r="G47" s="185"/>
    </row>
    <row r="48" spans="1:7">
      <c r="A48" s="198">
        <v>43363</v>
      </c>
      <c r="B48" s="191">
        <f>1474+1798+280+900+9967.98+4979.2+653.87+3778+653.87+3948.6+653.87+6953.15+2952.18+3752.4+1781.25+1734.08+330+653.87+4276.8+2291.88</f>
        <v>53813</v>
      </c>
      <c r="C48" s="191"/>
      <c r="D48" s="183"/>
      <c r="E48" s="192"/>
      <c r="F48" s="191"/>
      <c r="G48" s="185"/>
    </row>
    <row r="49" spans="1:7">
      <c r="A49" s="198">
        <v>43368</v>
      </c>
      <c r="B49" s="195">
        <f>884.1+3752.4+1045+7897.2+330+9587.53+2952.18+2489.6+6595.65+2458.26+756.54+4276.8+653.87+2138.4+653.87+5097.8+4138+1250.8+653.87+653.87+9285.97+756.54+884.1</f>
        <v>69192.35000000002</v>
      </c>
      <c r="C49" s="191"/>
      <c r="D49" s="183"/>
      <c r="E49" s="192"/>
      <c r="F49" s="191"/>
      <c r="G49" s="185"/>
    </row>
    <row r="50" spans="1:7">
      <c r="A50" s="198">
        <v>43371</v>
      </c>
      <c r="B50" s="195">
        <f>756.54+7563.42+756.54+2695.08+7897.2+756.54+2213.51+6071.8+2341.2</f>
        <v>31051.83</v>
      </c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253374.76000000007</v>
      </c>
      <c r="C53" s="200">
        <f>SUM(C44:C52)</f>
        <v>3442.6000000000004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121182.53999999992</v>
      </c>
      <c r="C54" s="200">
        <f>SUM(C44:C52)</f>
        <v>3442.6000000000004</v>
      </c>
      <c r="D54" s="235">
        <f>B54</f>
        <v>121182.53999999992</v>
      </c>
      <c r="E54" s="183"/>
      <c r="F54" s="173">
        <f>SUM(F44:F53)</f>
        <v>0</v>
      </c>
      <c r="G54" s="185"/>
    </row>
    <row r="56" spans="1:7">
      <c r="D56" s="4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4" workbookViewId="0">
      <selection activeCell="D55" sqref="D55"/>
    </sheetView>
  </sheetViews>
  <sheetFormatPr defaultRowHeight="12.75"/>
  <cols>
    <col min="1" max="1" width="11.285156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85230.76</v>
      </c>
      <c r="D4" s="413"/>
      <c r="E4" s="205"/>
      <c r="F4" s="153"/>
      <c r="G4" s="212">
        <f>B4+F4</f>
        <v>0</v>
      </c>
    </row>
    <row r="5" spans="1:7">
      <c r="A5" s="154">
        <v>43313</v>
      </c>
      <c r="B5" s="155">
        <v>7500</v>
      </c>
      <c r="C5" s="415">
        <f>1500+1500</f>
        <v>3000</v>
      </c>
      <c r="D5" s="156"/>
      <c r="E5" s="157"/>
      <c r="F5" s="158"/>
      <c r="G5" s="211">
        <f t="shared" ref="G5:G36" si="0">SUM(B5:F5)</f>
        <v>10500</v>
      </c>
    </row>
    <row r="6" spans="1:7">
      <c r="A6" s="154">
        <v>43314</v>
      </c>
      <c r="B6" s="155">
        <v>8772.7000000000007</v>
      </c>
      <c r="C6" s="155">
        <v>4500</v>
      </c>
      <c r="D6" s="157"/>
      <c r="E6" s="157"/>
      <c r="F6" s="159"/>
      <c r="G6" s="211">
        <f t="shared" si="0"/>
        <v>13272.7</v>
      </c>
    </row>
    <row r="7" spans="1:7">
      <c r="A7" s="154">
        <v>43315</v>
      </c>
      <c r="B7" s="155">
        <v>6420.71</v>
      </c>
      <c r="C7" s="160">
        <v>1277.23</v>
      </c>
      <c r="D7" s="156"/>
      <c r="E7" s="155"/>
      <c r="F7" s="159"/>
      <c r="G7" s="211">
        <f t="shared" si="0"/>
        <v>7697.9400000000005</v>
      </c>
    </row>
    <row r="8" spans="1:7">
      <c r="A8" s="154">
        <v>43318</v>
      </c>
      <c r="B8" s="155">
        <f>5192.1+3720.2</f>
        <v>8912.2999999999993</v>
      </c>
      <c r="C8" s="160">
        <f>164.3+1762.2</f>
        <v>1926.5</v>
      </c>
      <c r="D8" s="162"/>
      <c r="E8" s="162"/>
      <c r="F8" s="159"/>
      <c r="G8" s="211">
        <f t="shared" si="0"/>
        <v>10838.8</v>
      </c>
    </row>
    <row r="9" spans="1:7">
      <c r="A9" s="161">
        <v>43319</v>
      </c>
      <c r="B9" s="155">
        <v>12237.92</v>
      </c>
      <c r="C9" s="155">
        <v>1339.1</v>
      </c>
      <c r="D9" s="162"/>
      <c r="E9" s="162"/>
      <c r="F9" s="159"/>
      <c r="G9" s="211">
        <f t="shared" si="0"/>
        <v>13577.02</v>
      </c>
    </row>
    <row r="10" spans="1:7">
      <c r="A10" s="161">
        <v>43320</v>
      </c>
      <c r="B10" s="155">
        <v>947.5</v>
      </c>
      <c r="C10" s="160">
        <v>1272.7</v>
      </c>
      <c r="D10" s="162"/>
      <c r="E10" s="162"/>
      <c r="F10" s="159"/>
      <c r="G10" s="211">
        <f t="shared" si="0"/>
        <v>2220.1999999999998</v>
      </c>
    </row>
    <row r="11" spans="1:7">
      <c r="A11" s="161">
        <v>43321</v>
      </c>
      <c r="B11" s="155">
        <v>3786.6</v>
      </c>
      <c r="C11" s="155">
        <v>1860.1</v>
      </c>
      <c r="D11" s="162"/>
      <c r="E11" s="162"/>
      <c r="F11" s="158"/>
      <c r="G11" s="211">
        <f t="shared" si="0"/>
        <v>5646.7</v>
      </c>
    </row>
    <row r="12" spans="1:7">
      <c r="A12" s="161">
        <v>43322</v>
      </c>
      <c r="B12" s="155">
        <v>5433.46</v>
      </c>
      <c r="C12" s="155">
        <v>2772.7</v>
      </c>
      <c r="D12" s="162"/>
      <c r="E12" s="162"/>
      <c r="F12" s="158"/>
      <c r="G12" s="211">
        <f t="shared" si="0"/>
        <v>8206.16</v>
      </c>
    </row>
    <row r="13" spans="1:7">
      <c r="A13" s="161">
        <v>43325</v>
      </c>
      <c r="B13" s="155">
        <f>2709.7+6953.67</f>
        <v>9663.369999999999</v>
      </c>
      <c r="C13" s="155">
        <v>1503.4</v>
      </c>
      <c r="D13" s="163"/>
      <c r="E13" s="162"/>
      <c r="F13" s="158"/>
      <c r="G13" s="211">
        <f t="shared" si="0"/>
        <v>11166.769999999999</v>
      </c>
    </row>
    <row r="14" spans="1:7">
      <c r="A14" s="161">
        <v>43326</v>
      </c>
      <c r="B14" s="155">
        <v>5474.74</v>
      </c>
      <c r="C14" s="155"/>
      <c r="D14" s="162"/>
      <c r="E14" s="162"/>
      <c r="F14" s="158"/>
      <c r="G14" s="211">
        <f t="shared" si="0"/>
        <v>5474.74</v>
      </c>
    </row>
    <row r="15" spans="1:7">
      <c r="A15" s="161">
        <v>43327</v>
      </c>
      <c r="B15" s="155">
        <v>10045.24</v>
      </c>
      <c r="C15" s="160">
        <v>262.2</v>
      </c>
      <c r="D15" s="162"/>
      <c r="E15" s="162"/>
      <c r="F15" s="159"/>
      <c r="G15" s="211">
        <f t="shared" si="0"/>
        <v>10307.44</v>
      </c>
    </row>
    <row r="16" spans="1:7">
      <c r="A16" s="161">
        <v>43328</v>
      </c>
      <c r="B16" s="191">
        <f>980</f>
        <v>980</v>
      </c>
      <c r="C16" s="191"/>
      <c r="D16" s="208"/>
      <c r="E16" s="165"/>
      <c r="F16" s="166"/>
      <c r="G16" s="211">
        <f t="shared" si="0"/>
        <v>980</v>
      </c>
    </row>
    <row r="17" spans="1:10">
      <c r="A17" s="161">
        <v>43329</v>
      </c>
      <c r="B17" s="207">
        <f>3181.75</f>
        <v>3181.75</v>
      </c>
      <c r="C17" s="208">
        <v>3000</v>
      </c>
      <c r="D17" s="165"/>
      <c r="E17" s="165"/>
      <c r="F17" s="166"/>
      <c r="G17" s="211">
        <f t="shared" si="0"/>
        <v>6181.75</v>
      </c>
    </row>
    <row r="18" spans="1:10">
      <c r="A18" s="161">
        <v>43332</v>
      </c>
      <c r="B18" s="207">
        <f>3248.15+360.1</f>
        <v>3608.25</v>
      </c>
      <c r="C18" s="208">
        <f>42.57+927.47</f>
        <v>970.04000000000008</v>
      </c>
      <c r="D18" s="165"/>
      <c r="E18" s="165"/>
      <c r="F18" s="166"/>
      <c r="G18" s="211">
        <f t="shared" si="0"/>
        <v>4578.29</v>
      </c>
      <c r="J18">
        <v>979</v>
      </c>
    </row>
    <row r="19" spans="1:10">
      <c r="A19" s="161">
        <v>43333</v>
      </c>
      <c r="B19" s="207">
        <v>458</v>
      </c>
      <c r="C19" s="208"/>
      <c r="D19" s="165"/>
      <c r="E19" s="165"/>
      <c r="F19" s="166"/>
      <c r="G19" s="211">
        <f t="shared" si="0"/>
        <v>458</v>
      </c>
      <c r="J19">
        <v>1664.3</v>
      </c>
    </row>
    <row r="20" spans="1:10">
      <c r="A20" s="161">
        <v>43334</v>
      </c>
      <c r="B20" s="191">
        <v>1468.5</v>
      </c>
      <c r="C20" s="209">
        <v>685.3</v>
      </c>
      <c r="D20" s="168"/>
      <c r="E20" s="165"/>
      <c r="F20" s="166"/>
      <c r="G20" s="211">
        <f t="shared" si="0"/>
        <v>2153.8000000000002</v>
      </c>
      <c r="J20">
        <v>783.2</v>
      </c>
    </row>
    <row r="21" spans="1:10">
      <c r="A21" s="161">
        <v>43335</v>
      </c>
      <c r="B21" s="191">
        <v>1761.8</v>
      </c>
      <c r="C21" s="208"/>
      <c r="D21" s="165"/>
      <c r="E21" s="165"/>
      <c r="F21" s="169"/>
      <c r="G21" s="211">
        <f t="shared" si="0"/>
        <v>1761.8</v>
      </c>
      <c r="J21">
        <v>783.2</v>
      </c>
    </row>
    <row r="22" spans="1:10">
      <c r="A22" s="161">
        <v>43336</v>
      </c>
      <c r="B22" s="191">
        <v>3405.22</v>
      </c>
      <c r="C22" s="208"/>
      <c r="D22" s="165"/>
      <c r="E22" s="165"/>
      <c r="F22" s="170"/>
      <c r="G22" s="211">
        <f t="shared" si="0"/>
        <v>3405.22</v>
      </c>
      <c r="J22">
        <v>1414.66</v>
      </c>
    </row>
    <row r="23" spans="1:10">
      <c r="A23" s="161">
        <v>43339</v>
      </c>
      <c r="B23" s="191">
        <f>7103.08+458</f>
        <v>7561.08</v>
      </c>
      <c r="C23" s="208"/>
      <c r="D23" s="165"/>
      <c r="E23" s="165"/>
      <c r="F23" s="170"/>
      <c r="G23" s="211">
        <f t="shared" si="0"/>
        <v>7561.08</v>
      </c>
      <c r="J23" s="124">
        <f>SUM(J18:J22)</f>
        <v>5624.36</v>
      </c>
    </row>
    <row r="24" spans="1:10">
      <c r="A24" s="161">
        <v>43340</v>
      </c>
      <c r="B24" s="191">
        <f>12000+3234.96</f>
        <v>15234.96</v>
      </c>
      <c r="C24" s="208"/>
      <c r="D24" s="165"/>
      <c r="E24" s="165"/>
      <c r="F24" s="170"/>
      <c r="G24" s="211">
        <f t="shared" si="0"/>
        <v>15234.96</v>
      </c>
      <c r="H24" t="s">
        <v>182</v>
      </c>
    </row>
    <row r="25" spans="1:10">
      <c r="A25" s="161">
        <v>43341</v>
      </c>
      <c r="B25" s="191">
        <v>8421.9599999999991</v>
      </c>
      <c r="C25" s="208"/>
      <c r="D25" s="165"/>
      <c r="E25" s="165"/>
      <c r="F25" s="170"/>
      <c r="G25" s="211">
        <f t="shared" si="0"/>
        <v>8421.9599999999991</v>
      </c>
    </row>
    <row r="26" spans="1:10">
      <c r="A26" s="161">
        <v>43342</v>
      </c>
      <c r="B26" s="191">
        <v>22389.32</v>
      </c>
      <c r="C26" s="208">
        <v>2843.07</v>
      </c>
      <c r="D26" s="165"/>
      <c r="E26" s="165"/>
      <c r="F26" s="170"/>
      <c r="G26" s="211">
        <f t="shared" si="0"/>
        <v>25232.39</v>
      </c>
    </row>
    <row r="27" spans="1:10">
      <c r="A27" s="161">
        <v>43343</v>
      </c>
      <c r="B27" s="191">
        <v>19824.62</v>
      </c>
      <c r="C27" s="208">
        <v>2553.92</v>
      </c>
      <c r="D27" s="165"/>
      <c r="E27" s="165"/>
      <c r="F27" s="170"/>
      <c r="G27" s="211">
        <f t="shared" si="0"/>
        <v>22378.54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167490</v>
      </c>
      <c r="C37" s="173">
        <f t="shared" si="1"/>
        <v>29766.260000000002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197256.26000000004</v>
      </c>
    </row>
    <row r="38" spans="1:7">
      <c r="A38" s="174" t="s">
        <v>130</v>
      </c>
      <c r="B38" s="175">
        <f>SUM(B37+C37)-C53</f>
        <v>187690.22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272920.98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43315</v>
      </c>
      <c r="B44" s="370">
        <f>1876.2+653.87+4038.1+429.03+7758.69+3778+1493.54+2489.6+5395.62+2601.12+4276.8+3978.87+7007.05+589.4+3092.76+330+8086.74+738.6</f>
        <v>58613.990000000005</v>
      </c>
      <c r="C44" s="191">
        <f>1076.9+881.1+1174.8+1370.6+47.56+1491.81+489.5+456.87</f>
        <v>6989.14</v>
      </c>
      <c r="D44" s="183"/>
      <c r="E44" s="192"/>
      <c r="F44" s="193"/>
      <c r="G44" s="185"/>
    </row>
    <row r="45" spans="1:7" ht="15" customHeight="1">
      <c r="A45" s="194">
        <v>43320</v>
      </c>
      <c r="B45" s="191">
        <f>4276.8+653.87+3127+653.87+330+653.87+3092.76+2489.6+9635.73</f>
        <v>24913.5</v>
      </c>
      <c r="C45" s="191">
        <f>391.6+2185.3</f>
        <v>2576.9</v>
      </c>
      <c r="D45" s="183"/>
      <c r="E45" s="192"/>
      <c r="F45" s="196"/>
      <c r="G45" s="185"/>
    </row>
    <row r="46" spans="1:7">
      <c r="A46" s="194">
        <v>43328</v>
      </c>
      <c r="B46" s="191">
        <f>3320+3778+3917.01+3911.75+3936.24+7729.92+653.87+3752.4+9756+1736.75+330+5148.97+2736.6+4276.8+653.87+589.4+653.87+3876.21+414.97</f>
        <v>61172.630000000012</v>
      </c>
      <c r="C46" s="197"/>
      <c r="D46" s="183"/>
      <c r="E46" s="192"/>
      <c r="F46" s="191"/>
      <c r="G46" s="185"/>
    </row>
    <row r="47" spans="1:7">
      <c r="A47" s="198">
        <v>43335</v>
      </c>
      <c r="B47" s="191">
        <f>1350+2138.4+653.87+653.87+653.87+653.87+3961.76+7581.71+653.87+3861.73+3911.75+4735.5+3752.4</f>
        <v>34562.6</v>
      </c>
      <c r="C47" s="191"/>
      <c r="D47" s="183"/>
      <c r="E47" s="192"/>
      <c r="F47" s="191"/>
      <c r="G47" s="185"/>
    </row>
    <row r="48" spans="1:7">
      <c r="A48" s="198">
        <v>43342</v>
      </c>
      <c r="B48" s="191">
        <f>8300.98+330+653.87+653.87+1624.68+3853.51+4276.8+653.87+3373.92+1940+855+2489.6+3809.8+2479+1063.75+3752.4+653.87+653.87</f>
        <v>41418.790000000008</v>
      </c>
      <c r="C48" s="191"/>
      <c r="D48" s="183"/>
      <c r="E48" s="192"/>
      <c r="F48" s="191"/>
      <c r="G48" s="185"/>
    </row>
    <row r="49" spans="1:7">
      <c r="A49" s="198">
        <v>43343</v>
      </c>
      <c r="B49" s="195">
        <f>6031.85+589.4+3778+330+1106.39+7508.33+653.87+653.87+3948.6+653.87</f>
        <v>25254.179999999997</v>
      </c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245935.69000000003</v>
      </c>
      <c r="C53" s="200">
        <f>SUM(C44:C52)</f>
        <v>9566.0400000000009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26985.28999999995</v>
      </c>
      <c r="C54" s="200">
        <f>SUM(C45:C52)</f>
        <v>2576.9</v>
      </c>
      <c r="D54" s="235">
        <f>B54</f>
        <v>26985.28999999995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0" workbookViewId="0">
      <selection activeCell="C11" sqref="C11"/>
    </sheetView>
  </sheetViews>
  <sheetFormatPr defaultRowHeight="12.75"/>
  <cols>
    <col min="1" max="1" width="13.42578125" customWidth="1"/>
    <col min="2" max="2" width="11.85546875" customWidth="1"/>
    <col min="3" max="3" width="11.7109375" customWidth="1"/>
    <col min="4" max="4" width="10.5703125" customWidth="1"/>
    <col min="5" max="5" width="12.28515625" customWidth="1"/>
    <col min="6" max="6" width="11.71093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149</v>
      </c>
      <c r="F3" s="150" t="s">
        <v>129</v>
      </c>
      <c r="G3" s="211" t="s">
        <v>102</v>
      </c>
    </row>
    <row r="4" spans="1:7" ht="15">
      <c r="A4" s="205" t="s">
        <v>106</v>
      </c>
      <c r="B4" s="152"/>
      <c r="C4" s="206"/>
      <c r="D4" s="204"/>
      <c r="E4" s="242"/>
      <c r="F4" s="153"/>
      <c r="G4" s="212">
        <f>B4+F4</f>
        <v>0</v>
      </c>
    </row>
    <row r="5" spans="1:7">
      <c r="A5" s="154"/>
      <c r="B5" s="155"/>
      <c r="C5" s="155"/>
      <c r="D5" s="156"/>
      <c r="E5" s="157"/>
      <c r="F5" s="158"/>
      <c r="G5" s="211">
        <f t="shared" ref="G5:G36" si="0">SUM(B5:F5)</f>
        <v>0</v>
      </c>
    </row>
    <row r="6" spans="1:7">
      <c r="A6" s="154"/>
      <c r="B6" s="155"/>
      <c r="C6" s="155"/>
      <c r="D6" s="157"/>
      <c r="E6" s="157"/>
      <c r="F6" s="159"/>
      <c r="G6" s="211">
        <f t="shared" si="0"/>
        <v>0</v>
      </c>
    </row>
    <row r="7" spans="1:7">
      <c r="A7" s="154"/>
      <c r="B7" s="155"/>
      <c r="C7" s="160"/>
      <c r="D7" s="156"/>
      <c r="E7" s="155"/>
      <c r="F7" s="159"/>
      <c r="G7" s="211">
        <f t="shared" si="0"/>
        <v>0</v>
      </c>
    </row>
    <row r="8" spans="1:7">
      <c r="A8" s="161"/>
      <c r="B8" s="155"/>
      <c r="C8" s="155"/>
      <c r="D8" s="162"/>
      <c r="E8" s="162"/>
      <c r="F8" s="159"/>
      <c r="G8" s="211">
        <f t="shared" si="0"/>
        <v>0</v>
      </c>
    </row>
    <row r="9" spans="1:7">
      <c r="A9" s="161"/>
      <c r="B9" s="155"/>
      <c r="C9" s="155"/>
      <c r="D9" s="162"/>
      <c r="E9" s="162"/>
      <c r="F9" s="159"/>
      <c r="G9" s="211">
        <f t="shared" si="0"/>
        <v>0</v>
      </c>
    </row>
    <row r="10" spans="1:7">
      <c r="A10" s="161"/>
      <c r="B10" s="155"/>
      <c r="C10" s="160"/>
      <c r="D10" s="162"/>
      <c r="E10" s="162"/>
      <c r="F10" s="159"/>
      <c r="G10" s="211">
        <f t="shared" si="0"/>
        <v>0</v>
      </c>
    </row>
    <row r="11" spans="1:7">
      <c r="A11" s="161"/>
      <c r="B11" s="155"/>
      <c r="C11" s="155"/>
      <c r="D11" s="162"/>
      <c r="E11" s="162"/>
      <c r="F11" s="158"/>
      <c r="G11" s="211">
        <f t="shared" si="0"/>
        <v>0</v>
      </c>
    </row>
    <row r="12" spans="1:7">
      <c r="A12" s="161"/>
      <c r="B12" s="155"/>
      <c r="C12" s="155"/>
      <c r="D12" s="162"/>
      <c r="E12" s="162"/>
      <c r="F12" s="158"/>
      <c r="G12" s="211">
        <f t="shared" si="0"/>
        <v>0</v>
      </c>
    </row>
    <row r="13" spans="1:7">
      <c r="A13" s="161"/>
      <c r="B13" s="155"/>
      <c r="C13" s="155"/>
      <c r="D13" s="163"/>
      <c r="E13" s="162"/>
      <c r="F13" s="158"/>
      <c r="G13" s="211">
        <f t="shared" si="0"/>
        <v>0</v>
      </c>
    </row>
    <row r="14" spans="1:7">
      <c r="A14" s="161"/>
      <c r="B14" s="155"/>
      <c r="C14" s="155"/>
      <c r="D14" s="162"/>
      <c r="E14" s="162"/>
      <c r="F14" s="158"/>
      <c r="G14" s="211">
        <f t="shared" si="0"/>
        <v>0</v>
      </c>
    </row>
    <row r="15" spans="1:7">
      <c r="A15" s="161"/>
      <c r="B15" s="155"/>
      <c r="C15" s="160"/>
      <c r="D15" s="162"/>
      <c r="E15" s="162"/>
      <c r="F15" s="159"/>
      <c r="G15" s="211">
        <f t="shared" si="0"/>
        <v>0</v>
      </c>
    </row>
    <row r="16" spans="1:7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0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0</v>
      </c>
    </row>
    <row r="38" spans="1:7">
      <c r="A38" s="174" t="s">
        <v>130</v>
      </c>
      <c r="B38" s="175">
        <f>SUM(B37+C37)-C53</f>
        <v>0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B38+B4+C4+E4+E37</f>
        <v>0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8">
      <c r="A43" s="187" t="s">
        <v>133</v>
      </c>
      <c r="B43" s="223" t="s">
        <v>138</v>
      </c>
      <c r="C43" s="188" t="s">
        <v>134</v>
      </c>
      <c r="D43" s="183"/>
      <c r="E43" s="183"/>
      <c r="F43" s="188" t="s">
        <v>135</v>
      </c>
      <c r="G43" s="185"/>
    </row>
    <row r="44" spans="1:7" ht="14.25" customHeight="1">
      <c r="A44" s="189"/>
      <c r="B44" s="190"/>
      <c r="C44" s="191"/>
      <c r="D44" s="183"/>
      <c r="E44" s="192"/>
      <c r="F44" s="193"/>
      <c r="G44" s="185"/>
    </row>
    <row r="45" spans="1:7" ht="15" customHeight="1">
      <c r="A45" s="194"/>
      <c r="B45" s="195"/>
      <c r="C45" s="191"/>
      <c r="D45" s="183"/>
      <c r="E45" s="192"/>
      <c r="F45" s="196"/>
      <c r="G45" s="185"/>
    </row>
    <row r="46" spans="1:7">
      <c r="A46" s="194"/>
      <c r="B46" s="195"/>
      <c r="C46" s="197"/>
      <c r="D46" s="183"/>
      <c r="E46" s="192"/>
      <c r="F46" s="191"/>
      <c r="G46" s="185"/>
    </row>
    <row r="47" spans="1:7">
      <c r="A47" s="198"/>
      <c r="B47" s="195"/>
      <c r="C47" s="191"/>
      <c r="D47" s="183"/>
      <c r="E47" s="192"/>
      <c r="F47" s="191"/>
      <c r="G47" s="185"/>
    </row>
    <row r="48" spans="1:7">
      <c r="A48" s="198"/>
      <c r="B48" s="195"/>
      <c r="C48" s="191"/>
      <c r="D48" s="183"/>
      <c r="E48" s="192"/>
      <c r="F48" s="191"/>
      <c r="G48" s="185"/>
    </row>
    <row r="49" spans="1:7">
      <c r="A49" s="198"/>
      <c r="B49" s="195"/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0</v>
      </c>
      <c r="C53" s="200">
        <f>SUM(C44:C52)</f>
        <v>0</v>
      </c>
      <c r="D53" s="201"/>
      <c r="E53" s="183"/>
      <c r="F53" s="191"/>
      <c r="G53" s="185"/>
    </row>
    <row r="54" spans="1:7" ht="15.75">
      <c r="A54" s="202" t="s">
        <v>148</v>
      </c>
      <c r="B54" s="182">
        <f>B41-B53</f>
        <v>0</v>
      </c>
      <c r="C54" s="200">
        <f>SUM(C44:C52)</f>
        <v>0</v>
      </c>
      <c r="D54" s="235">
        <f>B54</f>
        <v>0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7" workbookViewId="0">
      <selection activeCell="A66" sqref="A66"/>
    </sheetView>
  </sheetViews>
  <sheetFormatPr defaultRowHeight="12.75"/>
  <cols>
    <col min="1" max="1" width="13.425781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21214.249999999942</v>
      </c>
      <c r="D4" s="413"/>
      <c r="E4" s="205"/>
      <c r="F4" s="153"/>
      <c r="G4" s="212">
        <f>B4+F4</f>
        <v>0</v>
      </c>
    </row>
    <row r="5" spans="1:7">
      <c r="A5" s="154">
        <v>43283</v>
      </c>
      <c r="B5" s="155">
        <v>8909.0499999999993</v>
      </c>
      <c r="C5" s="415">
        <f>4853.05+5674.8</f>
        <v>10527.85</v>
      </c>
      <c r="D5" s="156"/>
      <c r="E5" s="157"/>
      <c r="F5" s="158"/>
      <c r="G5" s="211">
        <f t="shared" ref="G5:G36" si="0">SUM(B5:F5)</f>
        <v>19436.900000000001</v>
      </c>
    </row>
    <row r="6" spans="1:7">
      <c r="A6" s="154">
        <v>43284</v>
      </c>
      <c r="B6" s="155">
        <f>1500</f>
        <v>1500</v>
      </c>
      <c r="C6" s="155">
        <v>1500</v>
      </c>
      <c r="D6" s="157"/>
      <c r="E6" s="157"/>
      <c r="F6" s="159"/>
      <c r="G6" s="211">
        <f t="shared" si="0"/>
        <v>3000</v>
      </c>
    </row>
    <row r="7" spans="1:7">
      <c r="A7" s="154">
        <v>43285</v>
      </c>
      <c r="B7" s="155">
        <v>3000</v>
      </c>
      <c r="C7" s="160">
        <v>1500</v>
      </c>
      <c r="D7" s="156"/>
      <c r="E7" s="155"/>
      <c r="F7" s="159"/>
      <c r="G7" s="211">
        <f t="shared" si="0"/>
        <v>4500</v>
      </c>
    </row>
    <row r="8" spans="1:7">
      <c r="A8" s="154">
        <v>43286</v>
      </c>
      <c r="B8" s="155">
        <v>3000</v>
      </c>
      <c r="C8" s="160">
        <v>1500</v>
      </c>
      <c r="D8" s="162"/>
      <c r="E8" s="162"/>
      <c r="F8" s="159"/>
      <c r="G8" s="211">
        <f t="shared" si="0"/>
        <v>4500</v>
      </c>
    </row>
    <row r="9" spans="1:7">
      <c r="A9" s="161">
        <v>43287</v>
      </c>
      <c r="B9" s="155">
        <v>5283.2</v>
      </c>
      <c r="C9" s="155">
        <f>1500</f>
        <v>1500</v>
      </c>
      <c r="D9" s="162"/>
      <c r="E9" s="162"/>
      <c r="F9" s="159"/>
      <c r="G9" s="211">
        <f t="shared" si="0"/>
        <v>6783.2</v>
      </c>
    </row>
    <row r="10" spans="1:7">
      <c r="A10" s="161">
        <v>43290</v>
      </c>
      <c r="B10" s="155">
        <f>7995+1500</f>
        <v>9495</v>
      </c>
      <c r="C10" s="160"/>
      <c r="D10" s="162"/>
      <c r="E10" s="162"/>
      <c r="F10" s="159"/>
      <c r="G10" s="211">
        <f t="shared" si="0"/>
        <v>9495</v>
      </c>
    </row>
    <row r="11" spans="1:7">
      <c r="A11" s="161">
        <v>43291</v>
      </c>
      <c r="B11" s="155">
        <v>4272.7</v>
      </c>
      <c r="C11" s="155"/>
      <c r="D11" s="162"/>
      <c r="E11" s="162"/>
      <c r="F11" s="158"/>
      <c r="G11" s="211">
        <f t="shared" si="0"/>
        <v>4272.7</v>
      </c>
    </row>
    <row r="12" spans="1:7">
      <c r="A12" s="161">
        <v>43292</v>
      </c>
      <c r="B12" s="155">
        <v>5968.5</v>
      </c>
      <c r="C12" s="155">
        <v>1500</v>
      </c>
      <c r="D12" s="162"/>
      <c r="E12" s="162"/>
      <c r="F12" s="158"/>
      <c r="G12" s="211">
        <f t="shared" si="0"/>
        <v>7468.5</v>
      </c>
    </row>
    <row r="13" spans="1:7">
      <c r="A13" s="161">
        <v>43293</v>
      </c>
      <c r="B13" s="155">
        <v>3000</v>
      </c>
      <c r="C13" s="155"/>
      <c r="D13" s="163"/>
      <c r="E13" s="162"/>
      <c r="F13" s="158"/>
      <c r="G13" s="211">
        <f t="shared" si="0"/>
        <v>3000</v>
      </c>
    </row>
    <row r="14" spans="1:7">
      <c r="A14" s="161">
        <v>43294</v>
      </c>
      <c r="B14" s="155">
        <v>4298.2299999999996</v>
      </c>
      <c r="C14" s="155"/>
      <c r="D14" s="162"/>
      <c r="E14" s="162"/>
      <c r="F14" s="158"/>
      <c r="G14" s="211">
        <f t="shared" si="0"/>
        <v>4298.2299999999996</v>
      </c>
    </row>
    <row r="15" spans="1:7">
      <c r="A15" s="161">
        <v>43297</v>
      </c>
      <c r="B15" s="155">
        <v>9500</v>
      </c>
      <c r="C15" s="160"/>
      <c r="D15" s="162"/>
      <c r="E15" s="162"/>
      <c r="F15" s="159"/>
      <c r="G15" s="211">
        <f t="shared" si="0"/>
        <v>9500</v>
      </c>
    </row>
    <row r="16" spans="1:7">
      <c r="A16" s="161">
        <v>43298</v>
      </c>
      <c r="B16" s="191">
        <v>4500</v>
      </c>
      <c r="C16" s="191">
        <v>3000</v>
      </c>
      <c r="D16" s="208"/>
      <c r="E16" s="165"/>
      <c r="F16" s="166"/>
      <c r="G16" s="211">
        <f t="shared" si="0"/>
        <v>7500</v>
      </c>
    </row>
    <row r="17" spans="1:10">
      <c r="A17" s="161">
        <v>43299</v>
      </c>
      <c r="B17" s="207">
        <v>1500</v>
      </c>
      <c r="C17" s="208">
        <v>3000</v>
      </c>
      <c r="D17" s="165"/>
      <c r="E17" s="165"/>
      <c r="F17" s="166"/>
      <c r="G17" s="211">
        <f t="shared" si="0"/>
        <v>4500</v>
      </c>
    </row>
    <row r="18" spans="1:10">
      <c r="A18" s="161">
        <v>43300</v>
      </c>
      <c r="B18" s="207">
        <v>1500</v>
      </c>
      <c r="C18" s="208">
        <v>1500</v>
      </c>
      <c r="D18" s="165"/>
      <c r="E18" s="165"/>
      <c r="F18" s="166"/>
      <c r="G18" s="211">
        <f t="shared" si="0"/>
        <v>3000</v>
      </c>
      <c r="J18">
        <v>979</v>
      </c>
    </row>
    <row r="19" spans="1:10">
      <c r="A19" s="161">
        <v>43301</v>
      </c>
      <c r="B19" s="207">
        <v>1100</v>
      </c>
      <c r="C19" s="208">
        <v>1500</v>
      </c>
      <c r="D19" s="165"/>
      <c r="E19" s="165"/>
      <c r="F19" s="166"/>
      <c r="G19" s="211">
        <f t="shared" si="0"/>
        <v>2600</v>
      </c>
      <c r="J19">
        <v>1664.3</v>
      </c>
    </row>
    <row r="20" spans="1:10">
      <c r="A20" s="161">
        <v>43304</v>
      </c>
      <c r="B20" s="191">
        <v>3000</v>
      </c>
      <c r="C20" s="209">
        <v>1500</v>
      </c>
      <c r="D20" s="168"/>
      <c r="E20" s="165"/>
      <c r="F20" s="166"/>
      <c r="G20" s="211">
        <f t="shared" si="0"/>
        <v>4500</v>
      </c>
      <c r="J20">
        <v>783.2</v>
      </c>
    </row>
    <row r="21" spans="1:10">
      <c r="A21" s="161">
        <v>43307</v>
      </c>
      <c r="B21" s="191">
        <v>6000.96</v>
      </c>
      <c r="C21" s="208"/>
      <c r="D21" s="165"/>
      <c r="E21" s="165"/>
      <c r="F21" s="169"/>
      <c r="G21" s="211">
        <f t="shared" si="0"/>
        <v>6000.96</v>
      </c>
      <c r="J21">
        <v>783.2</v>
      </c>
    </row>
    <row r="22" spans="1:10">
      <c r="A22" s="161">
        <v>43308</v>
      </c>
      <c r="B22" s="191">
        <v>1500</v>
      </c>
      <c r="C22" s="208">
        <v>3000</v>
      </c>
      <c r="D22" s="165"/>
      <c r="E22" s="165"/>
      <c r="F22" s="170"/>
      <c r="G22" s="211">
        <f t="shared" si="0"/>
        <v>4500</v>
      </c>
      <c r="J22">
        <v>1414.66</v>
      </c>
    </row>
    <row r="23" spans="1:10">
      <c r="A23" s="161">
        <v>43311</v>
      </c>
      <c r="B23" s="191">
        <f>3000+4500</f>
        <v>7500</v>
      </c>
      <c r="C23" s="208">
        <f>3000+1500</f>
        <v>4500</v>
      </c>
      <c r="D23" s="165"/>
      <c r="E23" s="165"/>
      <c r="F23" s="170"/>
      <c r="G23" s="211">
        <f t="shared" si="0"/>
        <v>12000</v>
      </c>
      <c r="J23" s="124">
        <f>SUM(J18:J22)</f>
        <v>5624.36</v>
      </c>
    </row>
    <row r="24" spans="1:10">
      <c r="A24" s="161">
        <v>43312</v>
      </c>
      <c r="B24" s="191">
        <v>4500</v>
      </c>
      <c r="C24" s="208"/>
      <c r="D24" s="165"/>
      <c r="E24" s="165"/>
      <c r="F24" s="170"/>
      <c r="G24" s="211">
        <f t="shared" si="0"/>
        <v>4500</v>
      </c>
    </row>
    <row r="25" spans="1:10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89327.64</v>
      </c>
      <c r="C37" s="173">
        <f t="shared" si="1"/>
        <v>36027.85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125355.49</v>
      </c>
    </row>
    <row r="38" spans="1:7">
      <c r="A38" s="174" t="s">
        <v>130</v>
      </c>
      <c r="B38" s="175">
        <f>SUM(B37+C37)-C53</f>
        <v>125355.48999999999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146569.73999999993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43284</v>
      </c>
      <c r="B44" s="370">
        <f>576.05+539.82+539.82+539.82+4484.18+3456+539.82+576.05+4675.4+576.05+539.82+2425+10246.5+1824+460+2177.7+4965.16+1096</f>
        <v>40237.19</v>
      </c>
      <c r="C44" s="191"/>
      <c r="D44" s="183"/>
      <c r="E44" s="192"/>
      <c r="F44" s="193"/>
      <c r="G44" s="185"/>
    </row>
    <row r="45" spans="1:7" ht="15" customHeight="1">
      <c r="A45" s="194">
        <v>43291</v>
      </c>
      <c r="B45" s="191">
        <f>11963.54+4449.65+4688.6</f>
        <v>21101.79</v>
      </c>
      <c r="C45" s="191"/>
      <c r="D45" s="183"/>
      <c r="E45" s="192"/>
      <c r="F45" s="196"/>
      <c r="G45" s="185"/>
    </row>
    <row r="46" spans="1:7">
      <c r="A46" s="194"/>
      <c r="B46" s="191"/>
      <c r="C46" s="197"/>
      <c r="D46" s="183"/>
      <c r="E46" s="192"/>
      <c r="F46" s="191"/>
      <c r="G46" s="185"/>
    </row>
    <row r="47" spans="1:7">
      <c r="A47" s="198"/>
      <c r="B47" s="191"/>
      <c r="C47" s="191"/>
      <c r="D47" s="183"/>
      <c r="E47" s="192"/>
      <c r="F47" s="191"/>
      <c r="G47" s="185"/>
    </row>
    <row r="48" spans="1:7">
      <c r="A48" s="198"/>
      <c r="B48" s="191"/>
      <c r="C48" s="191"/>
      <c r="D48" s="183"/>
      <c r="E48" s="192"/>
      <c r="F48" s="191"/>
      <c r="G48" s="185"/>
    </row>
    <row r="49" spans="1:7">
      <c r="A49" s="198"/>
      <c r="B49" s="195"/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61338.98</v>
      </c>
      <c r="C53" s="200">
        <f>SUM(C44:C52)</f>
        <v>0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85230.759999999922</v>
      </c>
      <c r="C54" s="200">
        <f>SUM(C45:C52)</f>
        <v>0</v>
      </c>
      <c r="D54" s="235">
        <f>B54</f>
        <v>85230.759999999922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4" workbookViewId="0">
      <selection activeCell="D59" sqref="D59"/>
    </sheetView>
  </sheetViews>
  <sheetFormatPr defaultRowHeight="12.75"/>
  <cols>
    <col min="1" max="1" width="13.425781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31855.649999999907</v>
      </c>
      <c r="D4" s="413"/>
      <c r="E4" s="205"/>
      <c r="F4" s="153"/>
      <c r="G4" s="212">
        <f>B4+F4</f>
        <v>0</v>
      </c>
    </row>
    <row r="5" spans="1:7">
      <c r="A5" s="154">
        <v>43252</v>
      </c>
      <c r="B5" s="155"/>
      <c r="C5" s="415">
        <v>1766.86</v>
      </c>
      <c r="D5" s="156"/>
      <c r="E5" s="157"/>
      <c r="F5" s="158"/>
      <c r="G5" s="211">
        <f t="shared" ref="G5:G36" si="0">SUM(B5:F5)</f>
        <v>1766.86</v>
      </c>
    </row>
    <row r="6" spans="1:7">
      <c r="A6" s="154">
        <v>43255</v>
      </c>
      <c r="B6" s="155">
        <v>5687.52</v>
      </c>
      <c r="C6" s="155">
        <f>2330.02+13427.88</f>
        <v>15757.9</v>
      </c>
      <c r="D6" s="157"/>
      <c r="E6" s="157"/>
      <c r="F6" s="159"/>
      <c r="G6" s="211">
        <f t="shared" si="0"/>
        <v>21445.42</v>
      </c>
    </row>
    <row r="7" spans="1:7">
      <c r="A7" s="154">
        <v>43256</v>
      </c>
      <c r="B7" s="155">
        <v>25855.34</v>
      </c>
      <c r="C7" s="160">
        <v>2746.1</v>
      </c>
      <c r="D7" s="156"/>
      <c r="E7" s="155"/>
      <c r="F7" s="159"/>
      <c r="G7" s="211">
        <f t="shared" si="0"/>
        <v>28601.439999999999</v>
      </c>
    </row>
    <row r="8" spans="1:7">
      <c r="A8" s="154">
        <v>43257</v>
      </c>
      <c r="B8" s="155">
        <v>21052.51</v>
      </c>
      <c r="C8" s="160">
        <v>6451.14</v>
      </c>
      <c r="D8" s="162"/>
      <c r="E8" s="162"/>
      <c r="F8" s="159"/>
      <c r="G8" s="211">
        <f t="shared" si="0"/>
        <v>27503.649999999998</v>
      </c>
    </row>
    <row r="9" spans="1:7">
      <c r="A9" s="161">
        <v>43258</v>
      </c>
      <c r="B9" s="155">
        <v>13970.33</v>
      </c>
      <c r="C9" s="155">
        <v>4699.21</v>
      </c>
      <c r="D9" s="162"/>
      <c r="E9" s="162"/>
      <c r="F9" s="159"/>
      <c r="G9" s="211">
        <f t="shared" si="0"/>
        <v>18669.54</v>
      </c>
    </row>
    <row r="10" spans="1:7">
      <c r="A10" s="161">
        <v>43259</v>
      </c>
      <c r="B10" s="155">
        <v>2643.3</v>
      </c>
      <c r="C10" s="160">
        <v>17247.12</v>
      </c>
      <c r="D10" s="162"/>
      <c r="E10" s="162"/>
      <c r="F10" s="159"/>
      <c r="G10" s="211">
        <f t="shared" si="0"/>
        <v>19890.419999999998</v>
      </c>
    </row>
    <row r="11" spans="1:7">
      <c r="A11" s="161">
        <v>43260</v>
      </c>
      <c r="B11" s="155">
        <v>13965.08</v>
      </c>
      <c r="C11" s="155">
        <v>5971.87</v>
      </c>
      <c r="D11" s="162"/>
      <c r="E11" s="162"/>
      <c r="F11" s="158"/>
      <c r="G11" s="211">
        <f t="shared" si="0"/>
        <v>19936.95</v>
      </c>
    </row>
    <row r="12" spans="1:7">
      <c r="A12" s="161">
        <v>43264</v>
      </c>
      <c r="B12" s="155">
        <f>21831.1+8907.14</f>
        <v>30738.239999999998</v>
      </c>
      <c r="C12" s="155">
        <f>3034.9+5559.09</f>
        <v>8593.99</v>
      </c>
      <c r="D12" s="162"/>
      <c r="E12" s="162"/>
      <c r="F12" s="158"/>
      <c r="G12" s="211">
        <f t="shared" si="0"/>
        <v>39332.229999999996</v>
      </c>
    </row>
    <row r="13" spans="1:7">
      <c r="A13" s="161">
        <v>43265</v>
      </c>
      <c r="B13" s="155">
        <v>16928.52</v>
      </c>
      <c r="C13" s="155"/>
      <c r="D13" s="163"/>
      <c r="E13" s="162"/>
      <c r="F13" s="158"/>
      <c r="G13" s="211">
        <f t="shared" si="0"/>
        <v>16928.52</v>
      </c>
    </row>
    <row r="14" spans="1:7">
      <c r="A14" s="161">
        <v>43266</v>
      </c>
      <c r="B14" s="155">
        <v>24793.54</v>
      </c>
      <c r="C14" s="155">
        <v>11850.8</v>
      </c>
      <c r="D14" s="162"/>
      <c r="E14" s="162"/>
      <c r="F14" s="158"/>
      <c r="G14" s="211">
        <f t="shared" si="0"/>
        <v>36644.339999999997</v>
      </c>
    </row>
    <row r="15" spans="1:7">
      <c r="A15" s="161">
        <v>43269</v>
      </c>
      <c r="B15" s="155">
        <f>22030.98+6069.8</f>
        <v>28100.78</v>
      </c>
      <c r="C15" s="160">
        <f>3916+10734.74</f>
        <v>14650.74</v>
      </c>
      <c r="D15" s="162"/>
      <c r="E15" s="162"/>
      <c r="F15" s="159"/>
      <c r="G15" s="211">
        <f t="shared" si="0"/>
        <v>42751.519999999997</v>
      </c>
    </row>
    <row r="16" spans="1:7">
      <c r="A16" s="161">
        <v>43270</v>
      </c>
      <c r="B16" s="191">
        <v>6111.8</v>
      </c>
      <c r="C16" s="191">
        <v>3573.35</v>
      </c>
      <c r="D16" s="208"/>
      <c r="E16" s="165"/>
      <c r="F16" s="166"/>
      <c r="G16" s="211">
        <f t="shared" si="0"/>
        <v>9685.15</v>
      </c>
    </row>
    <row r="17" spans="1:10">
      <c r="A17" s="161">
        <v>43271</v>
      </c>
      <c r="B17" s="207">
        <v>7741.57</v>
      </c>
      <c r="C17" s="208">
        <v>6950.9</v>
      </c>
      <c r="D17" s="165"/>
      <c r="E17" s="165"/>
      <c r="F17" s="166"/>
      <c r="G17" s="211">
        <f t="shared" si="0"/>
        <v>14692.47</v>
      </c>
    </row>
    <row r="18" spans="1:10">
      <c r="A18" s="161">
        <v>43272</v>
      </c>
      <c r="B18" s="207">
        <v>20390.3</v>
      </c>
      <c r="C18" s="208">
        <v>2447.5</v>
      </c>
      <c r="D18" s="165"/>
      <c r="E18" s="165"/>
      <c r="F18" s="166"/>
      <c r="G18" s="211">
        <f t="shared" si="0"/>
        <v>22837.8</v>
      </c>
      <c r="J18">
        <v>979</v>
      </c>
    </row>
    <row r="19" spans="1:10">
      <c r="A19" s="161">
        <v>43273</v>
      </c>
      <c r="B19" s="207">
        <v>6118.12</v>
      </c>
      <c r="C19" s="208">
        <v>3555.9</v>
      </c>
      <c r="D19" s="165"/>
      <c r="E19" s="165"/>
      <c r="F19" s="166"/>
      <c r="G19" s="211">
        <f t="shared" si="0"/>
        <v>9674.02</v>
      </c>
      <c r="J19">
        <v>1664.3</v>
      </c>
    </row>
    <row r="20" spans="1:10">
      <c r="A20" s="161">
        <v>43276</v>
      </c>
      <c r="B20" s="191">
        <f>1174.8+9066.4</f>
        <v>10241.199999999999</v>
      </c>
      <c r="C20" s="209">
        <f>391.6+1695.8</f>
        <v>2087.4</v>
      </c>
      <c r="D20" s="168"/>
      <c r="E20" s="165"/>
      <c r="F20" s="166"/>
      <c r="G20" s="211">
        <f t="shared" si="0"/>
        <v>12328.599999999999</v>
      </c>
      <c r="J20">
        <v>783.2</v>
      </c>
    </row>
    <row r="21" spans="1:10">
      <c r="A21" s="161">
        <v>43277</v>
      </c>
      <c r="B21" s="191">
        <v>6311.15</v>
      </c>
      <c r="C21" s="208"/>
      <c r="D21" s="165"/>
      <c r="E21" s="165"/>
      <c r="F21" s="169"/>
      <c r="G21" s="211">
        <f t="shared" si="0"/>
        <v>6311.15</v>
      </c>
      <c r="J21">
        <v>783.2</v>
      </c>
    </row>
    <row r="22" spans="1:10">
      <c r="A22" s="161">
        <v>43278</v>
      </c>
      <c r="B22" s="191">
        <v>9265.6</v>
      </c>
      <c r="C22" s="208">
        <v>3462.21</v>
      </c>
      <c r="D22" s="165"/>
      <c r="E22" s="165"/>
      <c r="F22" s="170"/>
      <c r="G22" s="211">
        <f t="shared" si="0"/>
        <v>12727.810000000001</v>
      </c>
      <c r="J22">
        <v>1414.66</v>
      </c>
    </row>
    <row r="23" spans="1:10">
      <c r="A23" s="161">
        <v>43279</v>
      </c>
      <c r="B23" s="191">
        <v>9181.75</v>
      </c>
      <c r="C23" s="208">
        <v>5853.79</v>
      </c>
      <c r="D23" s="165"/>
      <c r="E23" s="165"/>
      <c r="F23" s="170"/>
      <c r="G23" s="211">
        <f t="shared" si="0"/>
        <v>15035.54</v>
      </c>
      <c r="J23" s="124">
        <f>SUM(J18:J22)</f>
        <v>5624.36</v>
      </c>
    </row>
    <row r="24" spans="1:10">
      <c r="A24" s="161">
        <v>43280</v>
      </c>
      <c r="B24" s="191">
        <v>18928.509999999998</v>
      </c>
      <c r="C24" s="208">
        <v>2306.5100000000002</v>
      </c>
      <c r="D24" s="165"/>
      <c r="E24" s="165"/>
      <c r="F24" s="170"/>
      <c r="G24" s="211">
        <f t="shared" si="0"/>
        <v>21235.019999999997</v>
      </c>
    </row>
    <row r="25" spans="1:10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278025.15999999997</v>
      </c>
      <c r="C37" s="173">
        <f t="shared" si="1"/>
        <v>119973.28999999998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397998.45</v>
      </c>
    </row>
    <row r="38" spans="1:7">
      <c r="A38" s="174" t="s">
        <v>130</v>
      </c>
      <c r="B38" s="175">
        <f>SUM(B37+C37)-C53</f>
        <v>392666.48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424522.12999999989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43256</v>
      </c>
      <c r="B44" s="370">
        <f>4355.4+3500.94+10246.5+8814.97+3149.44+10108.68+10246.5</f>
        <v>50422.429999999993</v>
      </c>
      <c r="C44" s="191">
        <f>116.55+195.8+685.3</f>
        <v>997.65</v>
      </c>
      <c r="D44" s="183"/>
      <c r="E44" s="192"/>
      <c r="F44" s="193"/>
      <c r="G44" s="185"/>
    </row>
    <row r="45" spans="1:7" ht="15" customHeight="1">
      <c r="A45" s="194">
        <v>43259</v>
      </c>
      <c r="B45" s="191">
        <f>2177.7+9079+796.37+13678.93+4182.9+3560.64+1428.2+2874.66+812.55+10246.5+796.37+11440.66+8056.8+796.37+3121.58</f>
        <v>73049.23</v>
      </c>
      <c r="C45" s="191">
        <f>782.2+1864.76</f>
        <v>2646.96</v>
      </c>
      <c r="D45" s="183"/>
      <c r="E45" s="192"/>
      <c r="F45" s="196"/>
      <c r="G45" s="185"/>
    </row>
    <row r="46" spans="1:7">
      <c r="A46" s="194">
        <v>43264</v>
      </c>
      <c r="B46" s="191">
        <f>796.37+3263.6+13986.87+949.6+796.37+4355.4+3121.58+10117.47+3075.74+796.37</f>
        <v>41259.370000000003</v>
      </c>
      <c r="C46" s="197"/>
      <c r="D46" s="183"/>
      <c r="E46" s="192"/>
      <c r="F46" s="191"/>
      <c r="G46" s="185"/>
    </row>
    <row r="47" spans="1:7">
      <c r="A47" s="198">
        <v>43265</v>
      </c>
      <c r="B47" s="191">
        <f>796.37+4850+796.37+975.06+2685.6+2361.99+4261.35+7280.49+10246.5+3729.6</f>
        <v>37983.329999999994</v>
      </c>
      <c r="C47" s="191"/>
      <c r="D47" s="183"/>
      <c r="E47" s="192"/>
      <c r="F47" s="191"/>
      <c r="G47" s="185"/>
    </row>
    <row r="48" spans="1:7">
      <c r="A48" s="198">
        <v>43269</v>
      </c>
      <c r="B48" s="191">
        <f>10385.1+1334.58+3263.6+2177.7+796.37+2567.5+11692.69+21818.47</f>
        <v>54036.01</v>
      </c>
      <c r="C48" s="191">
        <f>1398.57+288.79</f>
        <v>1687.36</v>
      </c>
      <c r="D48" s="183"/>
      <c r="E48" s="192"/>
      <c r="F48" s="191"/>
      <c r="G48" s="185"/>
    </row>
    <row r="49" spans="1:7">
      <c r="A49" s="198">
        <v>43270</v>
      </c>
      <c r="B49" s="195">
        <f>840+576.05+576.05+3992.45+3121.58+2759.71+576.05+8477.43+6147.9+6672+2874.66+576.05+1913.25+2900.8</f>
        <v>42003.98000000001</v>
      </c>
      <c r="C49" s="191"/>
      <c r="D49" s="183"/>
      <c r="E49" s="192"/>
      <c r="F49" s="191"/>
      <c r="G49" s="185"/>
    </row>
    <row r="50" spans="1:7">
      <c r="A50" s="198">
        <v>43273</v>
      </c>
      <c r="B50" s="195">
        <f>6147.9+576.05+4476+6147.9+576.05+714.1+2486.4+576.05+5305.91+7280.49+7905.05+3336+2177.7</f>
        <v>47705.599999999999</v>
      </c>
      <c r="C50" s="191"/>
      <c r="D50" s="183"/>
      <c r="E50" s="192"/>
      <c r="F50" s="191"/>
      <c r="G50" s="185"/>
    </row>
    <row r="51" spans="1:7">
      <c r="A51" s="198">
        <v>43277</v>
      </c>
      <c r="B51" s="195">
        <f>2361.99+576.05+5208.49+2736.9+576.05+10385.1+576.05</f>
        <v>22420.63</v>
      </c>
      <c r="C51" s="191"/>
      <c r="D51" s="183"/>
      <c r="E51" s="183"/>
      <c r="F51" s="191"/>
      <c r="G51" s="185"/>
    </row>
    <row r="52" spans="1:7">
      <c r="A52" s="198">
        <v>43279</v>
      </c>
      <c r="B52" s="195">
        <f>5208.49+8197.2+5498.67+576.05+6147.9+3629.5+5169.49</f>
        <v>34427.299999999996</v>
      </c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403307.87999999995</v>
      </c>
      <c r="C53" s="200">
        <f>SUM(C44:C52)</f>
        <v>5331.97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21214.249999999942</v>
      </c>
      <c r="C54" s="200">
        <f>SUM(C45:C52)</f>
        <v>4334.32</v>
      </c>
      <c r="D54" s="235">
        <f>B54</f>
        <v>21214.249999999942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B29" sqref="B29"/>
    </sheetView>
  </sheetViews>
  <sheetFormatPr defaultRowHeight="12.75"/>
  <cols>
    <col min="1" max="1" width="13.425781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14680.36</v>
      </c>
      <c r="D4" s="413"/>
      <c r="E4" s="205"/>
      <c r="F4" s="153"/>
      <c r="G4" s="212">
        <f>B4+F4</f>
        <v>0</v>
      </c>
    </row>
    <row r="5" spans="1:7">
      <c r="A5" s="154">
        <v>43223</v>
      </c>
      <c r="B5" s="155">
        <f>2368.5+2219.89</f>
        <v>4588.3899999999994</v>
      </c>
      <c r="C5" s="415">
        <v>3405.89</v>
      </c>
      <c r="D5" s="156"/>
      <c r="E5" s="157"/>
      <c r="F5" s="158"/>
      <c r="G5" s="211">
        <f t="shared" ref="G5:G36" si="0">SUM(B5:F5)</f>
        <v>7994.2799999999988</v>
      </c>
    </row>
    <row r="6" spans="1:7">
      <c r="A6" s="154">
        <v>43224</v>
      </c>
      <c r="B6" s="155">
        <v>12369.14</v>
      </c>
      <c r="C6" s="155"/>
      <c r="D6" s="157"/>
      <c r="E6" s="157"/>
      <c r="F6" s="159"/>
      <c r="G6" s="211">
        <f t="shared" si="0"/>
        <v>12369.14</v>
      </c>
    </row>
    <row r="7" spans="1:7">
      <c r="A7" s="154">
        <v>43227</v>
      </c>
      <c r="B7" s="155">
        <f>48414.74</f>
        <v>48414.74</v>
      </c>
      <c r="C7" s="160">
        <f>1864.75+11879.22</f>
        <v>13743.97</v>
      </c>
      <c r="D7" s="156"/>
      <c r="E7" s="155"/>
      <c r="F7" s="159"/>
      <c r="G7" s="211">
        <f t="shared" si="0"/>
        <v>62158.71</v>
      </c>
    </row>
    <row r="8" spans="1:7">
      <c r="A8" s="161">
        <v>43228</v>
      </c>
      <c r="B8" s="155">
        <v>14913.43</v>
      </c>
      <c r="C8" s="155">
        <v>2610.66</v>
      </c>
      <c r="D8" s="162"/>
      <c r="E8" s="162"/>
      <c r="F8" s="159"/>
      <c r="G8" s="211">
        <f t="shared" si="0"/>
        <v>17524.09</v>
      </c>
    </row>
    <row r="9" spans="1:7">
      <c r="A9" s="161">
        <v>43230</v>
      </c>
      <c r="B9" s="155">
        <v>24624.19</v>
      </c>
      <c r="C9" s="155">
        <v>8814.67</v>
      </c>
      <c r="D9" s="162"/>
      <c r="E9" s="162"/>
      <c r="F9" s="159"/>
      <c r="G9" s="211">
        <f t="shared" si="0"/>
        <v>33438.86</v>
      </c>
    </row>
    <row r="10" spans="1:7">
      <c r="A10" s="161">
        <v>43231</v>
      </c>
      <c r="B10" s="155">
        <f>1077.64+2927.93+20744.65</f>
        <v>24750.22</v>
      </c>
      <c r="C10" s="160">
        <v>5894.74</v>
      </c>
      <c r="D10" s="162"/>
      <c r="E10" s="162"/>
      <c r="F10" s="159"/>
      <c r="G10" s="211">
        <f t="shared" si="0"/>
        <v>30644.959999999999</v>
      </c>
    </row>
    <row r="11" spans="1:7">
      <c r="A11" s="161">
        <v>43234</v>
      </c>
      <c r="B11" s="155">
        <f>23902.17</f>
        <v>23902.17</v>
      </c>
      <c r="C11" s="155">
        <f>3785.47+5384.5</f>
        <v>9169.9699999999993</v>
      </c>
      <c r="D11" s="162"/>
      <c r="E11" s="162"/>
      <c r="F11" s="158"/>
      <c r="G11" s="211">
        <f t="shared" si="0"/>
        <v>33072.14</v>
      </c>
    </row>
    <row r="12" spans="1:7">
      <c r="A12" s="161">
        <v>43235</v>
      </c>
      <c r="B12" s="155">
        <v>20443.439999999999</v>
      </c>
      <c r="C12" s="155">
        <v>3263.33</v>
      </c>
      <c r="D12" s="162"/>
      <c r="E12" s="162"/>
      <c r="F12" s="158"/>
      <c r="G12" s="211">
        <f t="shared" si="0"/>
        <v>23706.769999999997</v>
      </c>
    </row>
    <row r="13" spans="1:7">
      <c r="A13" s="161">
        <v>43236</v>
      </c>
      <c r="B13" s="155">
        <f>23457.72+652.67+1491.81</f>
        <v>25602.2</v>
      </c>
      <c r="C13" s="155">
        <v>4602.7</v>
      </c>
      <c r="D13" s="163"/>
      <c r="E13" s="162"/>
      <c r="F13" s="158"/>
      <c r="G13" s="211">
        <f t="shared" si="0"/>
        <v>30204.9</v>
      </c>
    </row>
    <row r="14" spans="1:7">
      <c r="A14" s="161">
        <v>43237</v>
      </c>
      <c r="B14" s="155">
        <v>11447.33</v>
      </c>
      <c r="C14" s="155">
        <v>10407.719999999999</v>
      </c>
      <c r="D14" s="162"/>
      <c r="E14" s="162"/>
      <c r="F14" s="158"/>
      <c r="G14" s="211">
        <f t="shared" si="0"/>
        <v>21855.05</v>
      </c>
    </row>
    <row r="15" spans="1:7">
      <c r="A15" s="161">
        <v>43238</v>
      </c>
      <c r="B15" s="155">
        <v>6287.33</v>
      </c>
      <c r="C15" s="160">
        <v>6418.05</v>
      </c>
      <c r="D15" s="162"/>
      <c r="E15" s="162"/>
      <c r="F15" s="159"/>
      <c r="G15" s="211">
        <f t="shared" si="0"/>
        <v>12705.380000000001</v>
      </c>
    </row>
    <row r="16" spans="1:7">
      <c r="A16" s="161">
        <v>43241</v>
      </c>
      <c r="B16" s="191">
        <f>18420.03+881.1</f>
        <v>19301.129999999997</v>
      </c>
      <c r="C16" s="191">
        <f>2703.91+5221.33</f>
        <v>7925.24</v>
      </c>
      <c r="D16" s="208"/>
      <c r="E16" s="165"/>
      <c r="F16" s="166"/>
      <c r="G16" s="211">
        <f t="shared" si="0"/>
        <v>27226.369999999995</v>
      </c>
    </row>
    <row r="17" spans="1:10">
      <c r="A17" s="161">
        <v>43242</v>
      </c>
      <c r="B17" s="207">
        <v>6852.99</v>
      </c>
      <c r="C17" s="208"/>
      <c r="D17" s="165"/>
      <c r="E17" s="165"/>
      <c r="F17" s="166"/>
      <c r="G17" s="211">
        <f t="shared" si="0"/>
        <v>6852.99</v>
      </c>
    </row>
    <row r="18" spans="1:10">
      <c r="A18" s="161">
        <v>43243</v>
      </c>
      <c r="B18" s="207">
        <v>4764.2700000000004</v>
      </c>
      <c r="C18" s="208">
        <v>5221.33</v>
      </c>
      <c r="D18" s="165"/>
      <c r="E18" s="165"/>
      <c r="F18" s="166"/>
      <c r="G18" s="211">
        <f t="shared" si="0"/>
        <v>9985.6</v>
      </c>
      <c r="J18">
        <v>979</v>
      </c>
    </row>
    <row r="19" spans="1:10">
      <c r="A19" s="161">
        <v>43244</v>
      </c>
      <c r="B19" s="207">
        <v>10993.99</v>
      </c>
      <c r="C19" s="208">
        <v>1876.41</v>
      </c>
      <c r="D19" s="165"/>
      <c r="E19" s="165"/>
      <c r="F19" s="166"/>
      <c r="G19" s="211">
        <f t="shared" si="0"/>
        <v>12870.4</v>
      </c>
      <c r="J19">
        <v>1664.3</v>
      </c>
    </row>
    <row r="20" spans="1:10">
      <c r="A20" s="161">
        <v>43245</v>
      </c>
      <c r="B20" s="191">
        <v>8555.0499999999993</v>
      </c>
      <c r="C20" s="209">
        <v>3897.36</v>
      </c>
      <c r="D20" s="168"/>
      <c r="E20" s="165"/>
      <c r="F20" s="166"/>
      <c r="G20" s="211">
        <f t="shared" si="0"/>
        <v>12452.41</v>
      </c>
      <c r="J20">
        <v>783.2</v>
      </c>
    </row>
    <row r="21" spans="1:10">
      <c r="A21" s="161">
        <v>43248</v>
      </c>
      <c r="B21" s="191">
        <v>15139.17</v>
      </c>
      <c r="C21" s="208">
        <f>2367.09+317.01</f>
        <v>2684.1000000000004</v>
      </c>
      <c r="D21" s="165"/>
      <c r="E21" s="165"/>
      <c r="F21" s="169"/>
      <c r="G21" s="211">
        <f t="shared" si="0"/>
        <v>17823.27</v>
      </c>
      <c r="J21">
        <v>783.2</v>
      </c>
    </row>
    <row r="22" spans="1:10">
      <c r="A22" s="161">
        <v>43249</v>
      </c>
      <c r="B22" s="191">
        <v>15375.36</v>
      </c>
      <c r="C22" s="208"/>
      <c r="D22" s="165"/>
      <c r="E22" s="165"/>
      <c r="F22" s="170"/>
      <c r="G22" s="211">
        <f t="shared" si="0"/>
        <v>15375.36</v>
      </c>
      <c r="J22">
        <v>1414.66</v>
      </c>
    </row>
    <row r="23" spans="1:10">
      <c r="A23" s="161">
        <v>43250</v>
      </c>
      <c r="B23" s="191">
        <v>3291.31</v>
      </c>
      <c r="C23" s="208">
        <v>9379.76</v>
      </c>
      <c r="D23" s="165"/>
      <c r="E23" s="165"/>
      <c r="F23" s="170"/>
      <c r="G23" s="211">
        <f t="shared" si="0"/>
        <v>12671.07</v>
      </c>
      <c r="J23" s="124">
        <f>SUM(J18:J22)</f>
        <v>5624.36</v>
      </c>
    </row>
    <row r="24" spans="1:10">
      <c r="A24" s="161">
        <v>43251</v>
      </c>
      <c r="B24" s="191">
        <v>2745.41</v>
      </c>
      <c r="C24" s="208"/>
      <c r="D24" s="165"/>
      <c r="E24" s="165"/>
      <c r="F24" s="170"/>
      <c r="G24" s="211">
        <f t="shared" si="0"/>
        <v>2745.41</v>
      </c>
    </row>
    <row r="25" spans="1:10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304361.25999999989</v>
      </c>
      <c r="C37" s="173">
        <f t="shared" si="1"/>
        <v>99315.900000000009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403677.15999999992</v>
      </c>
    </row>
    <row r="38" spans="1:7">
      <c r="A38" s="174" t="s">
        <v>130</v>
      </c>
      <c r="B38" s="175">
        <f>SUM(B37+C37)-C53</f>
        <v>403089.75999999989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417770.11999999988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43224</v>
      </c>
      <c r="B44" s="190">
        <f>6803+7502.11+1428.2+2459.16+975.06+2177.7</f>
        <v>21345.230000000003</v>
      </c>
      <c r="C44" s="191"/>
      <c r="D44" s="183"/>
      <c r="E44" s="192"/>
      <c r="F44" s="193"/>
      <c r="G44" s="185"/>
    </row>
    <row r="45" spans="1:7" ht="15" customHeight="1">
      <c r="A45" s="194">
        <v>43228</v>
      </c>
      <c r="B45" s="195">
        <f>8197.2+7774.2+796.37+3336+8109.29+8197.2+796.37+7655.44+3315.2+1187.25+3121.58+800+12397.61+4355.4+2731.43</f>
        <v>72770.539999999994</v>
      </c>
      <c r="C45" s="191"/>
      <c r="D45" s="183"/>
      <c r="E45" s="192"/>
      <c r="F45" s="196"/>
      <c r="G45" s="185"/>
    </row>
    <row r="46" spans="1:7">
      <c r="A46" s="194">
        <v>43230</v>
      </c>
      <c r="B46" s="195">
        <f>796.37+796.37+796.37+796.37</f>
        <v>3185.48</v>
      </c>
      <c r="C46" s="197"/>
      <c r="D46" s="183"/>
      <c r="E46" s="192"/>
      <c r="F46" s="191"/>
      <c r="G46" s="185"/>
    </row>
    <row r="47" spans="1:7">
      <c r="A47" s="198">
        <v>43234</v>
      </c>
      <c r="B47" s="195">
        <f>1230+7774.2+5371.2+550.81+8197.2+8625.03+3121.58+15543+4850+4144+550.81+2864.62+2289+145.2+474.8+2031.08+3336</f>
        <v>71098.53</v>
      </c>
      <c r="C47" s="191"/>
      <c r="D47" s="183"/>
      <c r="E47" s="192"/>
      <c r="F47" s="191"/>
      <c r="G47" s="185"/>
    </row>
    <row r="48" spans="1:7">
      <c r="A48" s="198">
        <v>43236</v>
      </c>
      <c r="B48" s="195">
        <f>8197.2+4885.8+796.37+796.37+2361.99+10246.5+3629.5+11616.64+812.55+796.37+12705.55</f>
        <v>56844.840000000011</v>
      </c>
      <c r="C48" s="191"/>
      <c r="D48" s="183"/>
      <c r="E48" s="192"/>
      <c r="F48" s="191"/>
      <c r="G48" s="185"/>
    </row>
    <row r="49" spans="1:7">
      <c r="A49" s="198">
        <v>43237</v>
      </c>
      <c r="B49" s="195">
        <f>5371.2+796.37+4850+2782.52+796.37+14399.1+6548.12+8197.2+2724.13+1451.8+726+1428.2+1713.3</f>
        <v>51784.310000000005</v>
      </c>
      <c r="C49" s="191"/>
      <c r="D49" s="183"/>
      <c r="E49" s="192"/>
      <c r="F49" s="191"/>
      <c r="G49" s="185"/>
    </row>
    <row r="50" spans="1:7">
      <c r="A50" s="198">
        <v>43242</v>
      </c>
      <c r="B50" s="195">
        <f>812.55+796.37+3336+474.8+3629.5+796.37+8109.29+12100.8+796.37+2072+796.37+794+3121.58</f>
        <v>37636.000000000007</v>
      </c>
      <c r="C50" s="191"/>
      <c r="D50" s="183"/>
      <c r="E50" s="192"/>
      <c r="F50" s="191"/>
      <c r="G50" s="185"/>
    </row>
    <row r="51" spans="1:7">
      <c r="A51" s="198">
        <v>43245</v>
      </c>
      <c r="B51" s="195">
        <f>10246.5+796.37+8197.2+9274.86+4117.21+8056.8</f>
        <v>40688.94</v>
      </c>
      <c r="C51" s="191">
        <v>587.4</v>
      </c>
      <c r="D51" s="183"/>
      <c r="E51" s="183"/>
      <c r="F51" s="191"/>
      <c r="G51" s="185"/>
    </row>
    <row r="52" spans="1:7">
      <c r="A52" s="198">
        <v>43249</v>
      </c>
      <c r="B52" s="195">
        <f>8411.2+6059.17+2806.23+10246.5+3037.5</f>
        <v>30560.600000000002</v>
      </c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385914.47</v>
      </c>
      <c r="C53" s="200">
        <f>SUM(C44:C52)</f>
        <v>587.4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31855.649999999907</v>
      </c>
      <c r="C54" s="200">
        <f>SUM(C45:C52)</f>
        <v>587.4</v>
      </c>
      <c r="D54" s="235">
        <f>B54</f>
        <v>31855.649999999907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" workbookViewId="0">
      <selection activeCell="B5" sqref="B5:C30"/>
    </sheetView>
  </sheetViews>
  <sheetFormatPr defaultRowHeight="12.75"/>
  <cols>
    <col min="1" max="1" width="13.425781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36967.149999999965</v>
      </c>
      <c r="D4" s="413"/>
      <c r="E4" s="205"/>
      <c r="F4" s="153"/>
      <c r="G4" s="212">
        <f>B4+F4</f>
        <v>0</v>
      </c>
    </row>
    <row r="5" spans="1:7">
      <c r="A5" s="154">
        <v>43192</v>
      </c>
      <c r="B5" s="155">
        <f>927.47+1360.3</f>
        <v>2287.77</v>
      </c>
      <c r="C5" s="415"/>
      <c r="D5" s="156"/>
      <c r="E5" s="157"/>
      <c r="F5" s="158"/>
      <c r="G5" s="211">
        <f t="shared" ref="G5:G20" si="0">SUM(B5:F5)</f>
        <v>2287.77</v>
      </c>
    </row>
    <row r="6" spans="1:7">
      <c r="A6" s="154">
        <v>43193</v>
      </c>
      <c r="B6" s="155">
        <v>10979.49</v>
      </c>
      <c r="C6" s="155"/>
      <c r="D6" s="157"/>
      <c r="E6" s="157"/>
      <c r="F6" s="159"/>
      <c r="G6" s="211">
        <f t="shared" si="0"/>
        <v>10979.49</v>
      </c>
    </row>
    <row r="7" spans="1:7">
      <c r="A7" s="154">
        <v>43194</v>
      </c>
      <c r="B7" s="155">
        <v>27907.18</v>
      </c>
      <c r="C7" s="160">
        <v>952.01</v>
      </c>
      <c r="D7" s="156"/>
      <c r="E7" s="155"/>
      <c r="F7" s="159"/>
      <c r="G7" s="211">
        <f t="shared" si="0"/>
        <v>28859.19</v>
      </c>
    </row>
    <row r="8" spans="1:7">
      <c r="A8" s="161">
        <v>43195</v>
      </c>
      <c r="B8" s="155">
        <v>21077.46</v>
      </c>
      <c r="C8" s="155">
        <v>9642.39</v>
      </c>
      <c r="D8" s="162"/>
      <c r="E8" s="162"/>
      <c r="F8" s="159"/>
      <c r="G8" s="211">
        <f t="shared" si="0"/>
        <v>30719.85</v>
      </c>
    </row>
    <row r="9" spans="1:7">
      <c r="A9" s="161">
        <v>43196</v>
      </c>
      <c r="B9" s="155">
        <v>12236.61</v>
      </c>
      <c r="C9" s="155">
        <v>3566.4</v>
      </c>
      <c r="D9" s="162"/>
      <c r="E9" s="162"/>
      <c r="F9" s="159"/>
      <c r="G9" s="211">
        <f t="shared" si="0"/>
        <v>15803.01</v>
      </c>
    </row>
    <row r="10" spans="1:7">
      <c r="A10" s="161">
        <v>43199</v>
      </c>
      <c r="B10" s="155">
        <f>23851.19+9997.4</f>
        <v>33848.589999999997</v>
      </c>
      <c r="C10" s="160">
        <f>8965.58+9104.7</f>
        <v>18070.28</v>
      </c>
      <c r="D10" s="162"/>
      <c r="E10" s="162"/>
      <c r="F10" s="159"/>
      <c r="G10" s="211">
        <f t="shared" si="0"/>
        <v>51918.869999999995</v>
      </c>
    </row>
    <row r="11" spans="1:7">
      <c r="A11" s="161">
        <v>43200</v>
      </c>
      <c r="B11" s="155">
        <v>18490.060000000001</v>
      </c>
      <c r="C11" s="155"/>
      <c r="D11" s="162"/>
      <c r="E11" s="162"/>
      <c r="F11" s="158"/>
      <c r="G11" s="211">
        <f t="shared" si="0"/>
        <v>18490.060000000001</v>
      </c>
    </row>
    <row r="12" spans="1:7">
      <c r="A12" s="161">
        <v>43201</v>
      </c>
      <c r="B12" s="155">
        <v>18239.009999999998</v>
      </c>
      <c r="C12" s="155">
        <v>4405.5</v>
      </c>
      <c r="D12" s="162"/>
      <c r="E12" s="162"/>
      <c r="F12" s="158"/>
      <c r="G12" s="211">
        <f t="shared" si="0"/>
        <v>22644.51</v>
      </c>
    </row>
    <row r="13" spans="1:7">
      <c r="A13" s="161">
        <v>43202</v>
      </c>
      <c r="B13" s="155">
        <v>14033.61</v>
      </c>
      <c r="C13" s="155">
        <v>5869.34</v>
      </c>
      <c r="D13" s="163"/>
      <c r="E13" s="162"/>
      <c r="F13" s="158"/>
      <c r="G13" s="211">
        <f t="shared" si="0"/>
        <v>19902.95</v>
      </c>
    </row>
    <row r="14" spans="1:7">
      <c r="A14" s="161">
        <v>43203</v>
      </c>
      <c r="B14" s="155">
        <v>10236.93</v>
      </c>
      <c r="C14" s="155">
        <v>5237.6499999999996</v>
      </c>
      <c r="D14" s="162"/>
      <c r="E14" s="162"/>
      <c r="F14" s="158"/>
      <c r="G14" s="211">
        <f t="shared" si="0"/>
        <v>15474.58</v>
      </c>
    </row>
    <row r="15" spans="1:7">
      <c r="A15" s="161">
        <v>43206</v>
      </c>
      <c r="B15" s="155">
        <f>30092.52</f>
        <v>30092.52</v>
      </c>
      <c r="C15" s="160">
        <f>1468.5+2271.28</f>
        <v>3739.78</v>
      </c>
      <c r="D15" s="162"/>
      <c r="E15" s="162"/>
      <c r="F15" s="159"/>
      <c r="G15" s="211">
        <f t="shared" si="0"/>
        <v>33832.300000000003</v>
      </c>
    </row>
    <row r="16" spans="1:7">
      <c r="A16" s="161">
        <v>43207</v>
      </c>
      <c r="B16" s="191">
        <v>6483.14</v>
      </c>
      <c r="C16" s="191">
        <v>3245.39</v>
      </c>
      <c r="D16" s="208"/>
      <c r="E16" s="165"/>
      <c r="F16" s="166"/>
      <c r="G16" s="211">
        <f t="shared" si="0"/>
        <v>9728.5300000000007</v>
      </c>
    </row>
    <row r="17" spans="1:10">
      <c r="A17" s="161">
        <v>43208</v>
      </c>
      <c r="B17" s="207">
        <f>1664.3+7710.46</f>
        <v>9374.76</v>
      </c>
      <c r="C17" s="208">
        <v>13056.08</v>
      </c>
      <c r="D17" s="165"/>
      <c r="E17" s="165"/>
      <c r="F17" s="166"/>
      <c r="G17" s="211">
        <f t="shared" si="0"/>
        <v>22430.84</v>
      </c>
    </row>
    <row r="18" spans="1:10">
      <c r="A18" s="161">
        <v>43209</v>
      </c>
      <c r="B18" s="207">
        <v>12133.84</v>
      </c>
      <c r="C18" s="208">
        <v>3036.96</v>
      </c>
      <c r="D18" s="165"/>
      <c r="E18" s="165"/>
      <c r="F18" s="166"/>
      <c r="G18" s="211">
        <f t="shared" si="0"/>
        <v>15170.8</v>
      </c>
      <c r="J18">
        <v>979</v>
      </c>
    </row>
    <row r="19" spans="1:10">
      <c r="A19" s="161">
        <v>43210</v>
      </c>
      <c r="B19" s="191">
        <f>2260.79+4918.45</f>
        <v>7179.24</v>
      </c>
      <c r="C19" s="208"/>
      <c r="D19" s="165"/>
      <c r="E19" s="165"/>
      <c r="F19" s="166"/>
      <c r="G19" s="211">
        <f t="shared" si="0"/>
        <v>7179.24</v>
      </c>
      <c r="J19">
        <v>1664.3</v>
      </c>
    </row>
    <row r="20" spans="1:10">
      <c r="A20" s="161">
        <v>43213</v>
      </c>
      <c r="B20" s="191">
        <f>1414.4+6742.52</f>
        <v>8156.92</v>
      </c>
      <c r="C20" s="209">
        <v>2251.6999999999998</v>
      </c>
      <c r="D20" s="168"/>
      <c r="E20" s="165"/>
      <c r="F20" s="166"/>
      <c r="G20" s="211">
        <f t="shared" si="0"/>
        <v>10408.619999999999</v>
      </c>
      <c r="J20">
        <v>783.2</v>
      </c>
    </row>
    <row r="21" spans="1:10">
      <c r="A21" s="161">
        <v>43214</v>
      </c>
      <c r="B21" s="191">
        <f>7016.94</f>
        <v>7016.94</v>
      </c>
      <c r="C21" s="208"/>
      <c r="D21" s="165"/>
      <c r="E21" s="165"/>
      <c r="F21" s="169"/>
      <c r="G21" s="211">
        <f t="shared" ref="G21:G36" si="1">SUM(B21:F21)</f>
        <v>7016.94</v>
      </c>
      <c r="J21">
        <v>783.2</v>
      </c>
    </row>
    <row r="22" spans="1:10">
      <c r="A22" s="161">
        <v>43215</v>
      </c>
      <c r="B22" s="191">
        <v>3034.9</v>
      </c>
      <c r="C22" s="208"/>
      <c r="D22" s="165"/>
      <c r="E22" s="165"/>
      <c r="F22" s="170"/>
      <c r="G22" s="211">
        <f t="shared" si="1"/>
        <v>3034.9</v>
      </c>
      <c r="J22">
        <v>1414.66</v>
      </c>
    </row>
    <row r="23" spans="1:10">
      <c r="A23" s="161">
        <v>43216</v>
      </c>
      <c r="B23" s="191">
        <v>4592.5</v>
      </c>
      <c r="C23" s="208"/>
      <c r="D23" s="165"/>
      <c r="E23" s="165"/>
      <c r="F23" s="170"/>
      <c r="G23" s="211">
        <f t="shared" si="1"/>
        <v>4592.5</v>
      </c>
      <c r="J23" s="124">
        <f>SUM(J18:J22)</f>
        <v>5624.36</v>
      </c>
    </row>
    <row r="24" spans="1:10">
      <c r="A24" s="161">
        <v>43217</v>
      </c>
      <c r="B24" s="191"/>
      <c r="C24" s="208">
        <v>1370.6</v>
      </c>
      <c r="D24" s="165"/>
      <c r="E24" s="165"/>
      <c r="F24" s="170"/>
      <c r="G24" s="211">
        <f t="shared" si="1"/>
        <v>1370.6</v>
      </c>
    </row>
    <row r="25" spans="1:10">
      <c r="A25" s="161">
        <v>43218</v>
      </c>
      <c r="B25" s="191">
        <v>1958</v>
      </c>
      <c r="C25" s="208">
        <v>5229.92</v>
      </c>
      <c r="D25" s="165"/>
      <c r="E25" s="165"/>
      <c r="F25" s="170"/>
      <c r="G25" s="211">
        <f t="shared" si="1"/>
        <v>7187.92</v>
      </c>
    </row>
    <row r="26" spans="1:10">
      <c r="A26" s="161"/>
      <c r="B26" s="191"/>
      <c r="C26" s="208"/>
      <c r="D26" s="165"/>
      <c r="E26" s="165"/>
      <c r="F26" s="170"/>
      <c r="G26" s="211">
        <f t="shared" si="1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1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1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1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1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1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1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1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1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1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1"/>
        <v>0</v>
      </c>
    </row>
    <row r="37" spans="1:7">
      <c r="A37" s="173" t="s">
        <v>104</v>
      </c>
      <c r="B37" s="173">
        <f t="shared" ref="B37:G37" si="2">SUM(B5:B29)</f>
        <v>259359.47000000003</v>
      </c>
      <c r="C37" s="173">
        <f t="shared" si="2"/>
        <v>79674</v>
      </c>
      <c r="D37" s="173">
        <f t="shared" si="2"/>
        <v>0</v>
      </c>
      <c r="E37" s="173">
        <f t="shared" si="2"/>
        <v>0</v>
      </c>
      <c r="F37" s="173">
        <f t="shared" si="2"/>
        <v>0</v>
      </c>
      <c r="G37" s="173">
        <f t="shared" si="2"/>
        <v>339033.47</v>
      </c>
    </row>
    <row r="38" spans="1:7">
      <c r="A38" s="174" t="s">
        <v>130</v>
      </c>
      <c r="B38" s="175">
        <f>SUM(B37+C37)-C53</f>
        <v>338289.50000000006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375256.65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51">
      <c r="A43" s="187" t="s">
        <v>133</v>
      </c>
      <c r="B43" s="223" t="s">
        <v>138</v>
      </c>
      <c r="C43" s="188" t="s">
        <v>134</v>
      </c>
      <c r="D43" s="183"/>
      <c r="E43" s="183"/>
      <c r="F43" s="188" t="s">
        <v>135</v>
      </c>
      <c r="G43" s="185"/>
    </row>
    <row r="44" spans="1:7" ht="14.25" customHeight="1">
      <c r="A44" s="189">
        <v>43193</v>
      </c>
      <c r="B44" s="190">
        <f>4892.1+1451.8+2693.6+8197.2+796.37+796.37</f>
        <v>18827.439999999999</v>
      </c>
      <c r="C44" s="191"/>
      <c r="D44" s="183"/>
      <c r="E44" s="192"/>
      <c r="F44" s="193"/>
      <c r="G44" s="185"/>
    </row>
    <row r="45" spans="1:7" ht="15" customHeight="1">
      <c r="A45" s="194">
        <v>43199</v>
      </c>
      <c r="B45" s="195">
        <v>88013.41</v>
      </c>
      <c r="C45" s="191"/>
      <c r="D45" s="183"/>
      <c r="E45" s="192"/>
      <c r="F45" s="196"/>
      <c r="G45" s="185"/>
    </row>
    <row r="46" spans="1:7">
      <c r="A46" s="194">
        <v>43200</v>
      </c>
      <c r="B46" s="195">
        <f>796.37+10246.5+8109.29+820.75+796.37</f>
        <v>20769.28</v>
      </c>
      <c r="C46" s="197"/>
      <c r="D46" s="183"/>
      <c r="E46" s="192"/>
      <c r="F46" s="191"/>
      <c r="G46" s="185"/>
    </row>
    <row r="47" spans="1:7">
      <c r="A47" s="198">
        <v>43201</v>
      </c>
      <c r="B47" s="195">
        <v>-2170</v>
      </c>
      <c r="C47" s="191">
        <v>743.97</v>
      </c>
      <c r="D47" s="183"/>
      <c r="E47" s="192"/>
      <c r="F47" s="191"/>
      <c r="G47" s="185"/>
    </row>
    <row r="48" spans="1:7">
      <c r="A48" s="198">
        <v>43206</v>
      </c>
      <c r="B48" s="195">
        <f>796.37+812.55+8714.26+796.37+796.37+5371.2+8197.2+796.37+796.37+12434.4+775+2856.41+2736.9+1588+8109.29+3121.58+2486.4+667.2+16971.77+2425+3484.32+2425.5+12471.81</f>
        <v>99630.64</v>
      </c>
      <c r="C48" s="191"/>
      <c r="D48" s="183"/>
      <c r="E48" s="192"/>
      <c r="F48" s="191"/>
      <c r="G48" s="185"/>
    </row>
    <row r="49" spans="1:7">
      <c r="A49" s="198">
        <v>43208</v>
      </c>
      <c r="B49" s="195">
        <v>2170</v>
      </c>
      <c r="C49" s="191"/>
      <c r="D49" s="183"/>
      <c r="E49" s="192"/>
      <c r="F49" s="191"/>
      <c r="G49" s="185"/>
    </row>
    <row r="50" spans="1:7">
      <c r="A50" s="198">
        <v>43209</v>
      </c>
      <c r="B50" s="195">
        <f>5371.2+1860.5+6809.5+869.75+8197.2+949.6+796.37+1451.8+6728.81+1354.05+560+12546.01+2447.16</f>
        <v>49941.95</v>
      </c>
      <c r="C50" s="191"/>
      <c r="D50" s="183"/>
      <c r="E50" s="192"/>
      <c r="F50" s="191"/>
      <c r="G50" s="185"/>
    </row>
    <row r="51" spans="1:7">
      <c r="A51" s="198">
        <v>43213</v>
      </c>
      <c r="B51" s="195">
        <f>812.55+7881.65+796.37+796.37+8197.2+796.37+796.37+4850+3336+796.37+3629.5+8109.29+2771.57+2732.34+15135.2+3121.58</f>
        <v>64558.729999999996</v>
      </c>
      <c r="C51" s="191"/>
      <c r="D51" s="183"/>
      <c r="E51" s="183"/>
      <c r="F51" s="191"/>
      <c r="G51" s="185"/>
    </row>
    <row r="52" spans="1:7">
      <c r="A52" s="198">
        <v>43216</v>
      </c>
      <c r="B52" s="195">
        <f>2693.6+5371.2+8197.2+8197.2</f>
        <v>24459.200000000001</v>
      </c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366200.65</v>
      </c>
      <c r="C53" s="200">
        <f>SUM(C44:C52)</f>
        <v>743.97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9056</v>
      </c>
      <c r="C54" s="200">
        <f>SUM(C45:C52)</f>
        <v>743.97</v>
      </c>
      <c r="D54" s="235">
        <f>B54</f>
        <v>9056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1" workbookViewId="0">
      <selection activeCell="C11" sqref="C11"/>
    </sheetView>
  </sheetViews>
  <sheetFormatPr defaultRowHeight="12.75"/>
  <cols>
    <col min="1" max="1" width="10.5703125" customWidth="1"/>
    <col min="2" max="2" width="15" customWidth="1"/>
    <col min="3" max="3" width="14.7109375" customWidth="1"/>
    <col min="4" max="4" width="10.42578125" customWidth="1"/>
    <col min="5" max="5" width="11.140625" customWidth="1"/>
    <col min="6" max="6" width="11.7109375" customWidth="1"/>
    <col min="7" max="7" width="9.140625" style="214" customWidth="1"/>
  </cols>
  <sheetData>
    <row r="1" spans="1:15" ht="18">
      <c r="B1" s="711" t="s">
        <v>122</v>
      </c>
      <c r="C1" s="711"/>
      <c r="D1" s="711"/>
      <c r="F1" s="147"/>
      <c r="G1" s="210"/>
    </row>
    <row r="2" spans="1:15">
      <c r="B2" s="147"/>
      <c r="F2" s="148" t="s">
        <v>123</v>
      </c>
      <c r="G2" s="210"/>
    </row>
    <row r="3" spans="1:15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153</v>
      </c>
      <c r="F3" s="150" t="s">
        <v>129</v>
      </c>
      <c r="G3" s="211" t="s">
        <v>102</v>
      </c>
      <c r="K3" s="715"/>
      <c r="L3" s="715"/>
      <c r="M3" s="715"/>
      <c r="N3" s="715"/>
      <c r="O3" s="715"/>
    </row>
    <row r="4" spans="1:15" ht="15.75">
      <c r="A4" s="205" t="s">
        <v>106</v>
      </c>
      <c r="B4" s="152"/>
      <c r="C4" s="241"/>
      <c r="D4" s="204"/>
      <c r="E4" s="242"/>
      <c r="F4" s="242"/>
      <c r="G4" s="212">
        <f>B4+F4</f>
        <v>0</v>
      </c>
      <c r="K4" s="715"/>
      <c r="L4" s="715"/>
      <c r="M4" s="715"/>
      <c r="N4" s="715"/>
      <c r="O4" s="715"/>
    </row>
    <row r="5" spans="1:15">
      <c r="A5" s="154"/>
      <c r="B5" s="155"/>
      <c r="C5" s="155"/>
      <c r="D5" s="156"/>
      <c r="E5" s="157"/>
      <c r="F5" s="158"/>
      <c r="G5" s="211">
        <f t="shared" ref="G5:G36" si="0">SUM(B5:F5)</f>
        <v>0</v>
      </c>
      <c r="K5" s="715"/>
      <c r="L5" s="715"/>
      <c r="M5" s="715"/>
      <c r="N5" s="715"/>
      <c r="O5" s="715"/>
    </row>
    <row r="6" spans="1:15">
      <c r="A6" s="154"/>
      <c r="B6" s="155"/>
      <c r="C6" s="155"/>
      <c r="D6" s="157"/>
      <c r="E6" s="157"/>
      <c r="F6" s="159"/>
      <c r="G6" s="211">
        <f t="shared" si="0"/>
        <v>0</v>
      </c>
      <c r="K6" s="715"/>
      <c r="L6" s="715"/>
      <c r="M6" s="715"/>
      <c r="N6" s="715"/>
      <c r="O6" s="715"/>
    </row>
    <row r="7" spans="1:15">
      <c r="A7" s="154"/>
      <c r="B7" s="155"/>
      <c r="C7" s="160"/>
      <c r="D7" s="156"/>
      <c r="E7" s="155"/>
      <c r="F7" s="159"/>
      <c r="G7" s="211">
        <f t="shared" si="0"/>
        <v>0</v>
      </c>
      <c r="K7" s="715"/>
      <c r="L7" s="715"/>
      <c r="M7" s="715"/>
      <c r="N7" s="715"/>
      <c r="O7" s="715"/>
    </row>
    <row r="8" spans="1:15">
      <c r="A8" s="161"/>
      <c r="B8" s="155"/>
      <c r="C8" s="155"/>
      <c r="D8" s="162"/>
      <c r="E8" s="162"/>
      <c r="F8" s="159"/>
      <c r="G8" s="211">
        <f t="shared" si="0"/>
        <v>0</v>
      </c>
      <c r="K8" s="715"/>
      <c r="L8" s="715"/>
      <c r="M8" s="715"/>
      <c r="N8" s="715"/>
      <c r="O8" s="715"/>
    </row>
    <row r="9" spans="1:15">
      <c r="A9" s="161"/>
      <c r="B9" s="155"/>
      <c r="C9" s="155"/>
      <c r="D9" s="162"/>
      <c r="E9" s="162"/>
      <c r="F9" s="159"/>
      <c r="G9" s="211">
        <f t="shared" si="0"/>
        <v>0</v>
      </c>
      <c r="K9" s="715"/>
      <c r="L9" s="715"/>
      <c r="M9" s="715"/>
      <c r="N9" s="715"/>
      <c r="O9" s="715"/>
    </row>
    <row r="10" spans="1:15">
      <c r="A10" s="161"/>
      <c r="B10" s="155"/>
      <c r="C10" s="160"/>
      <c r="D10" s="162"/>
      <c r="E10" s="162"/>
      <c r="F10" s="159"/>
      <c r="G10" s="211">
        <f t="shared" si="0"/>
        <v>0</v>
      </c>
      <c r="K10" s="715"/>
      <c r="L10" s="715"/>
      <c r="M10" s="715"/>
      <c r="N10" s="715"/>
      <c r="O10" s="715"/>
    </row>
    <row r="11" spans="1:15">
      <c r="A11" s="161"/>
      <c r="B11" s="155"/>
      <c r="C11" s="155"/>
      <c r="D11" s="162"/>
      <c r="E11" s="162"/>
      <c r="F11" s="158"/>
      <c r="G11" s="211">
        <f t="shared" si="0"/>
        <v>0</v>
      </c>
      <c r="K11" s="715"/>
      <c r="L11" s="715"/>
      <c r="M11" s="715"/>
      <c r="N11" s="715"/>
      <c r="O11" s="715"/>
    </row>
    <row r="12" spans="1:15">
      <c r="A12" s="161"/>
      <c r="B12" s="155"/>
      <c r="C12" s="155"/>
      <c r="D12" s="162"/>
      <c r="E12" s="162"/>
      <c r="F12" s="158"/>
      <c r="G12" s="211">
        <f t="shared" si="0"/>
        <v>0</v>
      </c>
      <c r="K12" s="715"/>
      <c r="L12" s="715"/>
      <c r="M12" s="715"/>
      <c r="N12" s="715"/>
      <c r="O12" s="715"/>
    </row>
    <row r="13" spans="1:15">
      <c r="A13" s="161"/>
      <c r="B13" s="155"/>
      <c r="C13" s="155"/>
      <c r="D13" s="163"/>
      <c r="E13" s="162"/>
      <c r="F13" s="158"/>
      <c r="G13" s="211">
        <f t="shared" si="0"/>
        <v>0</v>
      </c>
      <c r="K13" s="715"/>
      <c r="L13" s="715"/>
      <c r="M13" s="715"/>
      <c r="N13" s="715"/>
      <c r="O13" s="715"/>
    </row>
    <row r="14" spans="1:15">
      <c r="A14" s="161"/>
      <c r="B14" s="155"/>
      <c r="C14" s="155"/>
      <c r="D14" s="162"/>
      <c r="E14" s="162"/>
      <c r="F14" s="158"/>
      <c r="G14" s="211">
        <f t="shared" si="0"/>
        <v>0</v>
      </c>
    </row>
    <row r="15" spans="1:15">
      <c r="A15" s="161"/>
      <c r="B15" s="155"/>
      <c r="C15" s="160"/>
      <c r="D15" s="162"/>
      <c r="E15" s="162"/>
      <c r="F15" s="159"/>
      <c r="G15" s="211">
        <f t="shared" si="0"/>
        <v>0</v>
      </c>
    </row>
    <row r="16" spans="1:15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0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0</v>
      </c>
    </row>
    <row r="38" spans="1:7">
      <c r="A38" s="174" t="s">
        <v>152</v>
      </c>
      <c r="B38" s="175">
        <f>SUM(B37+C37)-C53</f>
        <v>0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0</v>
      </c>
      <c r="C41" s="183"/>
      <c r="D41" s="183"/>
      <c r="E41" s="183"/>
      <c r="F41" s="184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/>
      <c r="B44" s="190"/>
      <c r="C44" s="243"/>
      <c r="D44" s="247"/>
      <c r="E44" s="192"/>
      <c r="F44" s="193"/>
      <c r="G44" s="185"/>
    </row>
    <row r="45" spans="1:7" ht="15" customHeight="1">
      <c r="A45" s="194"/>
      <c r="B45" s="195"/>
      <c r="C45" s="251"/>
      <c r="D45" s="247"/>
      <c r="E45" s="192"/>
      <c r="F45" s="196"/>
      <c r="G45" s="185"/>
    </row>
    <row r="46" spans="1:7">
      <c r="A46" s="194"/>
      <c r="B46" s="195"/>
      <c r="C46" s="252"/>
      <c r="D46" s="247"/>
      <c r="E46" s="192"/>
      <c r="F46" s="191"/>
      <c r="G46" s="185"/>
    </row>
    <row r="47" spans="1:7">
      <c r="A47" s="198"/>
      <c r="B47" s="195"/>
      <c r="C47" s="253"/>
      <c r="D47" s="247"/>
      <c r="E47" s="192"/>
      <c r="F47" s="191"/>
      <c r="G47" s="185"/>
    </row>
    <row r="48" spans="1:7">
      <c r="A48" s="194"/>
      <c r="B48" s="195"/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4"/>
      <c r="B50" s="195"/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 ht="53.25" customHeight="1">
      <c r="A52" s="259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</f>
        <v>0</v>
      </c>
      <c r="C53" s="246">
        <f>SUM(C44:C52)</f>
        <v>0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0</v>
      </c>
      <c r="C54" s="246"/>
      <c r="D54" s="250">
        <f>B54</f>
        <v>0</v>
      </c>
      <c r="E54" s="183"/>
      <c r="F54" s="173">
        <f>SUM(F44:F53)</f>
        <v>0</v>
      </c>
      <c r="G54" s="185"/>
    </row>
  </sheetData>
  <mergeCells count="2">
    <mergeCell ref="B1:D1"/>
    <mergeCell ref="K3:O1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52" workbookViewId="0">
      <selection activeCell="C11" sqref="C11"/>
    </sheetView>
  </sheetViews>
  <sheetFormatPr defaultRowHeight="12.75"/>
  <cols>
    <col min="1" max="1" width="10.5703125" customWidth="1"/>
    <col min="2" max="2" width="16.7109375" customWidth="1"/>
    <col min="3" max="3" width="14.7109375" customWidth="1"/>
    <col min="4" max="4" width="10.42578125" customWidth="1"/>
    <col min="5" max="5" width="11.140625" customWidth="1"/>
    <col min="6" max="6" width="11.7109375" customWidth="1"/>
    <col min="7" max="7" width="9.140625" style="214" customWidth="1"/>
  </cols>
  <sheetData>
    <row r="1" spans="1:15" ht="18">
      <c r="B1" s="711" t="s">
        <v>122</v>
      </c>
      <c r="C1" s="711"/>
      <c r="D1" s="711"/>
      <c r="F1" s="147"/>
      <c r="G1" s="210"/>
    </row>
    <row r="2" spans="1:15">
      <c r="B2" s="147"/>
      <c r="F2" s="148" t="s">
        <v>123</v>
      </c>
      <c r="G2" s="210"/>
    </row>
    <row r="3" spans="1:15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153</v>
      </c>
      <c r="F3" s="150" t="s">
        <v>129</v>
      </c>
      <c r="G3" s="211" t="s">
        <v>102</v>
      </c>
      <c r="K3" s="715"/>
      <c r="L3" s="715"/>
      <c r="M3" s="715"/>
      <c r="N3" s="715"/>
      <c r="O3" s="715"/>
    </row>
    <row r="4" spans="1:15" ht="15.75">
      <c r="A4" s="205" t="s">
        <v>106</v>
      </c>
      <c r="B4" s="152"/>
      <c r="C4" s="241"/>
      <c r="D4" s="204"/>
      <c r="E4" s="242"/>
      <c r="F4" s="242"/>
      <c r="G4" s="212">
        <f>B4+F4</f>
        <v>0</v>
      </c>
      <c r="K4" s="715"/>
      <c r="L4" s="715"/>
      <c r="M4" s="715"/>
      <c r="N4" s="715"/>
      <c r="O4" s="715"/>
    </row>
    <row r="5" spans="1:15">
      <c r="A5" s="154">
        <v>42919</v>
      </c>
      <c r="B5" s="155"/>
      <c r="C5" s="155"/>
      <c r="D5" s="156"/>
      <c r="E5" s="157"/>
      <c r="F5" s="158"/>
      <c r="G5" s="211">
        <f t="shared" ref="G5:G36" si="0">SUM(B5:F5)</f>
        <v>0</v>
      </c>
      <c r="K5" s="715"/>
      <c r="L5" s="715"/>
      <c r="M5" s="715"/>
      <c r="N5" s="715"/>
      <c r="O5" s="715"/>
    </row>
    <row r="6" spans="1:15">
      <c r="A6" s="154">
        <v>42920</v>
      </c>
      <c r="B6" s="155"/>
      <c r="C6" s="155"/>
      <c r="D6" s="157"/>
      <c r="E6" s="157"/>
      <c r="F6" s="159"/>
      <c r="G6" s="211">
        <f t="shared" si="0"/>
        <v>0</v>
      </c>
      <c r="K6" s="715"/>
      <c r="L6" s="715"/>
      <c r="M6" s="715"/>
      <c r="N6" s="715"/>
      <c r="O6" s="715"/>
    </row>
    <row r="7" spans="1:15">
      <c r="A7" s="154">
        <v>42921</v>
      </c>
      <c r="B7" s="155"/>
      <c r="C7" s="160"/>
      <c r="D7" s="156"/>
      <c r="E7" s="155"/>
      <c r="F7" s="159"/>
      <c r="G7" s="211">
        <f t="shared" si="0"/>
        <v>0</v>
      </c>
      <c r="K7" s="715"/>
      <c r="L7" s="715"/>
      <c r="M7" s="715"/>
      <c r="N7" s="715"/>
      <c r="O7" s="715"/>
    </row>
    <row r="8" spans="1:15">
      <c r="A8" s="161">
        <v>42922</v>
      </c>
      <c r="B8" s="155"/>
      <c r="C8" s="155"/>
      <c r="D8" s="162"/>
      <c r="E8" s="162"/>
      <c r="F8" s="159"/>
      <c r="G8" s="211">
        <f t="shared" si="0"/>
        <v>0</v>
      </c>
      <c r="K8" s="715"/>
      <c r="L8" s="715"/>
      <c r="M8" s="715"/>
      <c r="N8" s="715"/>
      <c r="O8" s="715"/>
    </row>
    <row r="9" spans="1:15">
      <c r="A9" s="161">
        <v>42923</v>
      </c>
      <c r="B9" s="155"/>
      <c r="C9" s="155"/>
      <c r="D9" s="155"/>
      <c r="E9" s="162"/>
      <c r="F9" s="159"/>
      <c r="G9" s="211">
        <f t="shared" si="0"/>
        <v>0</v>
      </c>
      <c r="K9" s="715"/>
      <c r="L9" s="715"/>
      <c r="M9" s="715"/>
      <c r="N9" s="715"/>
      <c r="O9" s="715"/>
    </row>
    <row r="10" spans="1:15">
      <c r="A10" s="161">
        <v>42926</v>
      </c>
      <c r="B10" s="160"/>
      <c r="C10" s="155"/>
      <c r="D10" s="155"/>
      <c r="E10" s="162"/>
      <c r="F10" s="159"/>
      <c r="G10" s="211">
        <f t="shared" si="0"/>
        <v>0</v>
      </c>
      <c r="K10" s="715"/>
      <c r="L10" s="715"/>
      <c r="M10" s="715"/>
      <c r="N10" s="715"/>
      <c r="O10" s="715"/>
    </row>
    <row r="11" spans="1:15">
      <c r="A11" s="161">
        <v>42927</v>
      </c>
      <c r="B11" s="155"/>
      <c r="C11" s="155"/>
      <c r="D11" s="162"/>
      <c r="E11" s="162"/>
      <c r="F11" s="158"/>
      <c r="G11" s="211">
        <f t="shared" si="0"/>
        <v>0</v>
      </c>
      <c r="K11" s="715"/>
      <c r="L11" s="715"/>
      <c r="M11" s="715"/>
      <c r="N11" s="715"/>
      <c r="O11" s="715"/>
    </row>
    <row r="12" spans="1:15">
      <c r="A12" s="161">
        <v>42928</v>
      </c>
      <c r="B12" s="155"/>
      <c r="C12" s="155"/>
      <c r="D12" s="162"/>
      <c r="E12" s="162"/>
      <c r="F12" s="158"/>
      <c r="G12" s="211">
        <f t="shared" si="0"/>
        <v>0</v>
      </c>
      <c r="K12" s="715"/>
      <c r="L12" s="715"/>
      <c r="M12" s="715"/>
      <c r="N12" s="715"/>
      <c r="O12" s="715"/>
    </row>
    <row r="13" spans="1:15">
      <c r="A13" s="161">
        <v>42929</v>
      </c>
      <c r="B13" s="155"/>
      <c r="C13" s="155"/>
      <c r="D13" s="163"/>
      <c r="E13" s="162"/>
      <c r="F13" s="158"/>
      <c r="G13" s="211">
        <f t="shared" si="0"/>
        <v>0</v>
      </c>
      <c r="K13" s="715"/>
      <c r="L13" s="715"/>
      <c r="M13" s="715"/>
      <c r="N13" s="715"/>
      <c r="O13" s="715"/>
    </row>
    <row r="14" spans="1:15">
      <c r="A14" s="161">
        <v>42930</v>
      </c>
      <c r="B14" s="155"/>
      <c r="C14" s="155"/>
      <c r="D14" s="162"/>
      <c r="E14" s="162"/>
      <c r="F14" s="158"/>
      <c r="G14" s="211">
        <f t="shared" si="0"/>
        <v>0</v>
      </c>
    </row>
    <row r="15" spans="1:15">
      <c r="A15" s="161">
        <v>42933</v>
      </c>
      <c r="B15" s="155"/>
      <c r="C15" s="160"/>
      <c r="D15" s="162"/>
      <c r="E15" s="162"/>
      <c r="F15" s="159"/>
      <c r="G15" s="211">
        <f t="shared" si="0"/>
        <v>0</v>
      </c>
    </row>
    <row r="16" spans="1:15">
      <c r="A16" s="161">
        <v>42934</v>
      </c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>
        <v>42935</v>
      </c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>
        <v>42936</v>
      </c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>
        <v>42937</v>
      </c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>
        <v>42940</v>
      </c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>
        <v>42941</v>
      </c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>
        <v>42942</v>
      </c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>
        <v>42943</v>
      </c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>
        <v>42944</v>
      </c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>
        <v>42947</v>
      </c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0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0</v>
      </c>
    </row>
    <row r="38" spans="1:7">
      <c r="A38" s="174" t="s">
        <v>152</v>
      </c>
      <c r="B38" s="175">
        <f>SUM(B37+C37)-C53</f>
        <v>0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</f>
        <v>0</v>
      </c>
      <c r="C41" s="183"/>
      <c r="D41" s="183"/>
      <c r="E41" s="183"/>
      <c r="F41" s="184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>
        <v>42919</v>
      </c>
      <c r="B44" s="370"/>
      <c r="C44" s="243"/>
      <c r="D44" s="247"/>
      <c r="E44" s="192"/>
      <c r="F44" s="193"/>
      <c r="G44" s="185"/>
    </row>
    <row r="45" spans="1:7" ht="15" customHeight="1">
      <c r="A45" s="194">
        <v>42922</v>
      </c>
      <c r="B45" s="191"/>
      <c r="C45" s="251"/>
      <c r="D45" s="247"/>
      <c r="E45" s="192"/>
      <c r="F45" s="196"/>
      <c r="G45" s="185"/>
    </row>
    <row r="46" spans="1:7">
      <c r="A46" s="194">
        <v>42926</v>
      </c>
      <c r="B46" s="195"/>
      <c r="C46" s="252"/>
      <c r="D46" s="247"/>
      <c r="E46" s="192"/>
      <c r="F46" s="191"/>
      <c r="G46" s="185"/>
    </row>
    <row r="47" spans="1:7">
      <c r="A47" s="198">
        <v>42930</v>
      </c>
      <c r="B47" s="195"/>
      <c r="C47" s="253"/>
      <c r="D47" s="247"/>
      <c r="E47" s="192"/>
      <c r="F47" s="191"/>
      <c r="G47" s="185"/>
    </row>
    <row r="48" spans="1:7">
      <c r="A48" s="194">
        <v>42933</v>
      </c>
      <c r="B48" s="195"/>
      <c r="C48" s="251"/>
      <c r="D48" s="247"/>
      <c r="E48" s="192"/>
      <c r="F48" s="191"/>
      <c r="G48" s="185"/>
    </row>
    <row r="49" spans="1:7">
      <c r="A49" s="198">
        <v>42937</v>
      </c>
      <c r="B49" s="195"/>
      <c r="C49" s="251"/>
      <c r="D49" s="247"/>
      <c r="E49" s="192"/>
      <c r="F49" s="191"/>
      <c r="G49" s="185"/>
    </row>
    <row r="50" spans="1:7">
      <c r="A50" s="194">
        <v>42941</v>
      </c>
      <c r="B50" s="195"/>
      <c r="C50" s="243"/>
      <c r="D50" s="247"/>
      <c r="E50" s="192"/>
      <c r="F50" s="191"/>
      <c r="G50" s="185"/>
    </row>
    <row r="51" spans="1:7">
      <c r="A51" s="198">
        <v>42944</v>
      </c>
      <c r="B51" s="195"/>
      <c r="C51" s="243"/>
      <c r="D51" s="247"/>
      <c r="E51" s="183"/>
      <c r="F51" s="191"/>
      <c r="G51" s="185"/>
    </row>
    <row r="52" spans="1:7" ht="16.5" customHeight="1">
      <c r="A52" s="198">
        <v>42947</v>
      </c>
      <c r="B52" s="195"/>
      <c r="C52" s="243"/>
      <c r="D52" s="248"/>
      <c r="E52" s="183"/>
      <c r="F52" s="191"/>
      <c r="G52" s="185"/>
    </row>
    <row r="53" spans="1:7" ht="27" customHeight="1">
      <c r="A53" s="198" t="s">
        <v>136</v>
      </c>
      <c r="B53" s="200">
        <f>SUM(B44:B52)</f>
        <v>0</v>
      </c>
      <c r="C53" s="246">
        <f>SUM(C44:C52)</f>
        <v>0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0</v>
      </c>
      <c r="C54" s="246"/>
      <c r="D54" s="250">
        <f>B54</f>
        <v>0</v>
      </c>
      <c r="E54" s="183"/>
      <c r="F54" s="173">
        <f>SUM(F44:F53)</f>
        <v>0</v>
      </c>
      <c r="G54" s="185"/>
    </row>
  </sheetData>
  <mergeCells count="2">
    <mergeCell ref="B1:D1"/>
    <mergeCell ref="K3:O1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40" workbookViewId="0">
      <selection activeCell="C11" sqref="C11"/>
    </sheetView>
  </sheetViews>
  <sheetFormatPr defaultRowHeight="12.75"/>
  <cols>
    <col min="1" max="1" width="11.5703125" customWidth="1"/>
    <col min="2" max="2" width="14.85546875" customWidth="1"/>
    <col min="3" max="3" width="12.85546875" customWidth="1"/>
    <col min="4" max="4" width="10.42578125" customWidth="1"/>
    <col min="5" max="5" width="11.140625" customWidth="1"/>
    <col min="6" max="6" width="11.7109375" customWidth="1"/>
    <col min="7" max="7" width="9.140625" style="214" customWidth="1"/>
  </cols>
  <sheetData>
    <row r="1" spans="1:15" ht="18">
      <c r="B1" s="711" t="s">
        <v>122</v>
      </c>
      <c r="C1" s="711"/>
      <c r="D1" s="711"/>
      <c r="F1" s="147"/>
      <c r="G1" s="210"/>
    </row>
    <row r="2" spans="1:15">
      <c r="B2" s="147"/>
      <c r="F2" s="148" t="s">
        <v>123</v>
      </c>
      <c r="G2" s="210"/>
    </row>
    <row r="3" spans="1:15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153</v>
      </c>
      <c r="F3" s="150" t="s">
        <v>129</v>
      </c>
      <c r="G3" s="211" t="s">
        <v>102</v>
      </c>
      <c r="K3" s="715"/>
      <c r="L3" s="715"/>
      <c r="M3" s="715"/>
      <c r="N3" s="715"/>
      <c r="O3" s="715"/>
    </row>
    <row r="4" spans="1:15" ht="15.75">
      <c r="A4" s="205" t="s">
        <v>106</v>
      </c>
      <c r="B4" s="152"/>
      <c r="C4" s="241"/>
      <c r="D4" s="204"/>
      <c r="E4" s="242"/>
      <c r="F4" s="242"/>
      <c r="G4" s="212">
        <f>B4+F4</f>
        <v>0</v>
      </c>
      <c r="K4" s="715"/>
      <c r="L4" s="715"/>
      <c r="M4" s="715"/>
      <c r="N4" s="715"/>
      <c r="O4" s="715"/>
    </row>
    <row r="5" spans="1:15" ht="15.75" customHeight="1">
      <c r="A5" s="154"/>
      <c r="B5" s="155"/>
      <c r="C5" s="155"/>
      <c r="D5" s="156"/>
      <c r="E5" s="157"/>
      <c r="F5" s="158"/>
      <c r="G5" s="211">
        <f t="shared" ref="G5:G36" si="0">SUM(B5:F5)</f>
        <v>0</v>
      </c>
      <c r="K5" s="715"/>
      <c r="L5" s="715"/>
      <c r="M5" s="715"/>
      <c r="N5" s="715"/>
      <c r="O5" s="715"/>
    </row>
    <row r="6" spans="1:15">
      <c r="A6" s="154"/>
      <c r="B6" s="155"/>
      <c r="C6" s="155"/>
      <c r="D6" s="157"/>
      <c r="E6" s="157"/>
      <c r="F6" s="159"/>
      <c r="G6" s="211">
        <f t="shared" si="0"/>
        <v>0</v>
      </c>
      <c r="K6" s="715"/>
      <c r="L6" s="715"/>
      <c r="M6" s="715"/>
      <c r="N6" s="715"/>
      <c r="O6" s="715"/>
    </row>
    <row r="7" spans="1:15">
      <c r="A7" s="154"/>
      <c r="B7" s="155"/>
      <c r="C7" s="155"/>
      <c r="D7" s="156"/>
      <c r="E7" s="155"/>
      <c r="F7" s="159"/>
      <c r="G7" s="211">
        <f t="shared" si="0"/>
        <v>0</v>
      </c>
      <c r="K7" s="715"/>
      <c r="L7" s="715"/>
      <c r="M7" s="715"/>
      <c r="N7" s="715"/>
      <c r="O7" s="715"/>
    </row>
    <row r="8" spans="1:15">
      <c r="A8" s="154"/>
      <c r="B8" s="155"/>
      <c r="C8" s="160"/>
      <c r="D8" s="162"/>
      <c r="E8" s="162"/>
      <c r="F8" s="159"/>
      <c r="G8" s="211">
        <f t="shared" si="0"/>
        <v>0</v>
      </c>
      <c r="K8" s="715"/>
      <c r="L8" s="715"/>
      <c r="M8" s="715"/>
      <c r="N8" s="715"/>
      <c r="O8" s="715"/>
    </row>
    <row r="9" spans="1:15">
      <c r="A9" s="161"/>
      <c r="B9" s="155"/>
      <c r="C9" s="155"/>
      <c r="D9" s="155"/>
      <c r="E9" s="162"/>
      <c r="F9" s="159"/>
      <c r="G9" s="211">
        <f t="shared" si="0"/>
        <v>0</v>
      </c>
      <c r="K9" s="715"/>
      <c r="L9" s="715"/>
      <c r="M9" s="715"/>
      <c r="N9" s="715"/>
      <c r="O9" s="715"/>
    </row>
    <row r="10" spans="1:15">
      <c r="A10" s="161"/>
      <c r="B10" s="160"/>
      <c r="C10" s="155"/>
      <c r="D10" s="155"/>
      <c r="E10" s="162"/>
      <c r="F10" s="159"/>
      <c r="G10" s="211">
        <f t="shared" si="0"/>
        <v>0</v>
      </c>
      <c r="K10" s="715"/>
      <c r="L10" s="715"/>
      <c r="M10" s="715"/>
      <c r="N10" s="715"/>
      <c r="O10" s="715"/>
    </row>
    <row r="11" spans="1:15">
      <c r="A11" s="161"/>
      <c r="B11" s="155"/>
      <c r="C11" s="155"/>
      <c r="D11" s="162"/>
      <c r="E11" s="162"/>
      <c r="F11" s="158"/>
      <c r="G11" s="211">
        <f t="shared" si="0"/>
        <v>0</v>
      </c>
      <c r="K11" s="715"/>
      <c r="L11" s="715"/>
      <c r="M11" s="715"/>
      <c r="N11" s="715"/>
      <c r="O11" s="715"/>
    </row>
    <row r="12" spans="1:15">
      <c r="A12" s="161"/>
      <c r="B12" s="155"/>
      <c r="C12" s="155"/>
      <c r="D12" s="162"/>
      <c r="E12" s="162"/>
      <c r="F12" s="158"/>
      <c r="G12" s="211">
        <f t="shared" si="0"/>
        <v>0</v>
      </c>
      <c r="K12" s="715"/>
      <c r="L12" s="715"/>
      <c r="M12" s="715"/>
      <c r="N12" s="715"/>
      <c r="O12" s="715"/>
    </row>
    <row r="13" spans="1:15">
      <c r="A13" s="161"/>
      <c r="B13" s="155"/>
      <c r="C13" s="155"/>
      <c r="D13" s="163"/>
      <c r="E13" s="162"/>
      <c r="F13" s="158"/>
      <c r="G13" s="211">
        <f t="shared" si="0"/>
        <v>0</v>
      </c>
      <c r="K13" s="715"/>
      <c r="L13" s="715"/>
      <c r="M13" s="715"/>
      <c r="N13" s="715"/>
      <c r="O13" s="715"/>
    </row>
    <row r="14" spans="1:15">
      <c r="A14" s="161"/>
      <c r="B14" s="155"/>
      <c r="C14" s="155"/>
      <c r="D14" s="162"/>
      <c r="E14" s="162"/>
      <c r="F14" s="158"/>
      <c r="G14" s="211">
        <f t="shared" si="0"/>
        <v>0</v>
      </c>
    </row>
    <row r="15" spans="1:15">
      <c r="A15" s="161"/>
      <c r="B15" s="155"/>
      <c r="C15" s="160"/>
      <c r="D15" s="162"/>
      <c r="E15" s="162"/>
      <c r="F15" s="159"/>
      <c r="G15" s="211">
        <f t="shared" si="0"/>
        <v>0</v>
      </c>
    </row>
    <row r="16" spans="1:15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11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11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11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11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11">
      <c r="A37" s="173" t="s">
        <v>104</v>
      </c>
      <c r="B37" s="173">
        <f t="shared" ref="B37:G37" si="1">SUM(B5:B29)</f>
        <v>0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0</v>
      </c>
    </row>
    <row r="38" spans="1:11">
      <c r="A38" s="174" t="s">
        <v>152</v>
      </c>
      <c r="B38" s="175">
        <f>SUM(B37+C37)-C53</f>
        <v>0</v>
      </c>
      <c r="C38" s="173"/>
      <c r="D38" s="173"/>
      <c r="E38" s="176">
        <f>E37+E4</f>
        <v>0</v>
      </c>
      <c r="F38" s="177"/>
      <c r="G38" s="173"/>
    </row>
    <row r="39" spans="1:11">
      <c r="A39" s="178"/>
      <c r="B39" s="179"/>
      <c r="C39" s="164"/>
      <c r="D39" s="164"/>
      <c r="E39" s="164"/>
      <c r="F39" s="164"/>
      <c r="G39" s="173"/>
    </row>
    <row r="40" spans="1:11">
      <c r="A40" s="180"/>
      <c r="B40" s="171"/>
      <c r="C40" s="164"/>
      <c r="D40" s="164"/>
      <c r="E40" s="164"/>
      <c r="F40" s="164"/>
      <c r="G40" s="173"/>
      <c r="I40">
        <v>317459.44</v>
      </c>
    </row>
    <row r="41" spans="1:11" ht="15">
      <c r="A41" s="181" t="s">
        <v>151</v>
      </c>
      <c r="B41" s="182">
        <f>B38+B4+C4+E4+E37</f>
        <v>0</v>
      </c>
      <c r="C41" s="183"/>
      <c r="D41" s="183"/>
      <c r="E41" s="183"/>
      <c r="F41" s="184"/>
      <c r="G41" s="185"/>
      <c r="I41">
        <f>B38-I40</f>
        <v>-317459.44</v>
      </c>
    </row>
    <row r="42" spans="1:11" ht="15">
      <c r="A42" s="186"/>
      <c r="B42" s="182"/>
      <c r="C42" s="183"/>
      <c r="D42" s="183"/>
      <c r="E42" s="183"/>
      <c r="F42" s="183"/>
      <c r="G42" s="185"/>
    </row>
    <row r="43" spans="1:11" ht="38.25">
      <c r="A43" s="187" t="s">
        <v>133</v>
      </c>
      <c r="B43" s="223" t="s">
        <v>138</v>
      </c>
      <c r="C43" s="245" t="s">
        <v>162</v>
      </c>
      <c r="D43" s="247"/>
      <c r="E43" s="183"/>
      <c r="F43" s="188" t="s">
        <v>135</v>
      </c>
      <c r="G43" s="185"/>
      <c r="I43">
        <f>B37-C47</f>
        <v>0</v>
      </c>
      <c r="J43">
        <v>234621.24</v>
      </c>
      <c r="K43">
        <f>I43-J43</f>
        <v>-234621.24</v>
      </c>
    </row>
    <row r="44" spans="1:11" ht="14.25" customHeight="1">
      <c r="A44" s="189"/>
      <c r="B44" s="370"/>
      <c r="C44" s="243"/>
      <c r="D44" s="247"/>
      <c r="E44" s="192"/>
      <c r="F44" s="193"/>
      <c r="G44" s="185"/>
      <c r="I44">
        <v>82838.2</v>
      </c>
    </row>
    <row r="45" spans="1:11" ht="15" customHeight="1">
      <c r="A45" s="194"/>
      <c r="B45" s="191"/>
      <c r="C45" s="251"/>
      <c r="D45" s="247"/>
      <c r="E45" s="192"/>
      <c r="F45" s="196"/>
      <c r="G45" s="185"/>
    </row>
    <row r="46" spans="1:11">
      <c r="A46" s="194"/>
      <c r="B46" s="195"/>
      <c r="C46" s="252"/>
      <c r="D46" s="247"/>
      <c r="E46" s="192"/>
      <c r="F46" s="191"/>
      <c r="G46" s="185"/>
    </row>
    <row r="47" spans="1:11">
      <c r="A47" s="198"/>
      <c r="B47" s="195"/>
      <c r="C47" s="253"/>
      <c r="D47" s="247"/>
      <c r="E47" s="192"/>
      <c r="F47" s="191"/>
      <c r="G47" s="185"/>
    </row>
    <row r="48" spans="1:11">
      <c r="A48" s="194"/>
      <c r="B48" s="195"/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4"/>
      <c r="B50" s="195"/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 ht="16.5" customHeight="1">
      <c r="A52" s="198"/>
      <c r="B52" s="195"/>
      <c r="C52" s="243"/>
      <c r="D52" s="248"/>
      <c r="E52" s="183"/>
      <c r="F52" s="191"/>
      <c r="G52" s="185"/>
    </row>
    <row r="53" spans="1:7" ht="27" customHeight="1">
      <c r="A53" s="198" t="s">
        <v>136</v>
      </c>
      <c r="B53" s="200">
        <f>SUM(B44:B52)</f>
        <v>0</v>
      </c>
      <c r="C53" s="246">
        <f>SUM(C44:C52)</f>
        <v>0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0</v>
      </c>
      <c r="C54" s="246"/>
      <c r="D54" s="250">
        <f>B54</f>
        <v>0</v>
      </c>
      <c r="E54" s="183"/>
      <c r="F54" s="173">
        <f>SUM(F44:F53)</f>
        <v>0</v>
      </c>
      <c r="G54" s="185"/>
    </row>
    <row r="55" spans="1:7" ht="16.5" customHeight="1"/>
    <row r="56" spans="1:7" ht="16.5" customHeight="1"/>
    <row r="57" spans="1:7" ht="16.5" customHeight="1"/>
    <row r="58" spans="1:7" ht="16.5" customHeight="1"/>
  </sheetData>
  <mergeCells count="2">
    <mergeCell ref="B1:D1"/>
    <mergeCell ref="K3:O1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40" workbookViewId="0">
      <selection activeCell="C11" sqref="C11"/>
    </sheetView>
  </sheetViews>
  <sheetFormatPr defaultRowHeight="12.75"/>
  <cols>
    <col min="1" max="1" width="11.5703125" customWidth="1"/>
    <col min="2" max="2" width="14.85546875" customWidth="1"/>
    <col min="3" max="3" width="14.7109375" customWidth="1"/>
    <col min="4" max="4" width="10.42578125" customWidth="1"/>
    <col min="5" max="5" width="11.140625" customWidth="1"/>
    <col min="6" max="6" width="11.7109375" customWidth="1"/>
    <col min="7" max="7" width="9.140625" style="214" customWidth="1"/>
  </cols>
  <sheetData>
    <row r="1" spans="1:15" ht="18">
      <c r="B1" s="711" t="s">
        <v>122</v>
      </c>
      <c r="C1" s="711"/>
      <c r="D1" s="711"/>
      <c r="F1" s="147"/>
      <c r="G1" s="210"/>
    </row>
    <row r="2" spans="1:15">
      <c r="B2" s="147"/>
      <c r="F2" s="148" t="s">
        <v>123</v>
      </c>
      <c r="G2" s="210"/>
    </row>
    <row r="3" spans="1:15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153</v>
      </c>
      <c r="F3" s="150" t="s">
        <v>129</v>
      </c>
      <c r="G3" s="211" t="s">
        <v>102</v>
      </c>
      <c r="K3" s="715"/>
      <c r="L3" s="715"/>
      <c r="M3" s="715"/>
      <c r="N3" s="715"/>
      <c r="O3" s="715"/>
    </row>
    <row r="4" spans="1:15" ht="15.75">
      <c r="A4" s="205" t="s">
        <v>106</v>
      </c>
      <c r="B4" s="152"/>
      <c r="C4" s="241"/>
      <c r="D4" s="204"/>
      <c r="E4" s="242"/>
      <c r="F4" s="242"/>
      <c r="G4" s="212">
        <f>B4+F4</f>
        <v>0</v>
      </c>
      <c r="K4" s="715"/>
      <c r="L4" s="715"/>
      <c r="M4" s="715"/>
      <c r="N4" s="715"/>
      <c r="O4" s="715"/>
    </row>
    <row r="5" spans="1:15" ht="15.75" customHeight="1">
      <c r="A5" s="154"/>
      <c r="B5" s="155"/>
      <c r="C5" s="155"/>
      <c r="D5" s="156"/>
      <c r="E5" s="157"/>
      <c r="F5" s="158"/>
      <c r="G5" s="211">
        <f t="shared" ref="G5:G36" si="0">SUM(B5:F5)</f>
        <v>0</v>
      </c>
      <c r="K5" s="715"/>
      <c r="L5" s="715"/>
      <c r="M5" s="715"/>
      <c r="N5" s="715"/>
      <c r="O5" s="715"/>
    </row>
    <row r="6" spans="1:15">
      <c r="A6" s="154"/>
      <c r="B6" s="155"/>
      <c r="C6" s="155"/>
      <c r="D6" s="157"/>
      <c r="E6" s="157"/>
      <c r="F6" s="159"/>
      <c r="G6" s="211">
        <f t="shared" si="0"/>
        <v>0</v>
      </c>
      <c r="K6" s="715"/>
      <c r="L6" s="715"/>
      <c r="M6" s="715"/>
      <c r="N6" s="715"/>
      <c r="O6" s="715"/>
    </row>
    <row r="7" spans="1:15">
      <c r="A7" s="154"/>
      <c r="B7" s="155"/>
      <c r="C7" s="155"/>
      <c r="D7" s="156"/>
      <c r="E7" s="155"/>
      <c r="F7" s="159"/>
      <c r="G7" s="211">
        <f t="shared" si="0"/>
        <v>0</v>
      </c>
      <c r="K7" s="715"/>
      <c r="L7" s="715"/>
      <c r="M7" s="715"/>
      <c r="N7" s="715"/>
      <c r="O7" s="715"/>
    </row>
    <row r="8" spans="1:15">
      <c r="A8" s="154"/>
      <c r="B8" s="155"/>
      <c r="C8" s="160"/>
      <c r="D8" s="162"/>
      <c r="E8" s="162"/>
      <c r="F8" s="159"/>
      <c r="G8" s="211">
        <f t="shared" si="0"/>
        <v>0</v>
      </c>
      <c r="K8" s="715"/>
      <c r="L8" s="715"/>
      <c r="M8" s="715"/>
      <c r="N8" s="715"/>
      <c r="O8" s="715"/>
    </row>
    <row r="9" spans="1:15">
      <c r="A9" s="161"/>
      <c r="B9" s="155"/>
      <c r="C9" s="155"/>
      <c r="D9" s="155"/>
      <c r="E9" s="162"/>
      <c r="F9" s="159"/>
      <c r="G9" s="211">
        <f t="shared" si="0"/>
        <v>0</v>
      </c>
      <c r="K9" s="715"/>
      <c r="L9" s="715"/>
      <c r="M9" s="715"/>
      <c r="N9" s="715"/>
      <c r="O9" s="715"/>
    </row>
    <row r="10" spans="1:15">
      <c r="A10" s="161"/>
      <c r="B10" s="160"/>
      <c r="C10" s="155"/>
      <c r="D10" s="155"/>
      <c r="E10" s="162"/>
      <c r="F10" s="159"/>
      <c r="G10" s="211">
        <f t="shared" si="0"/>
        <v>0</v>
      </c>
      <c r="K10" s="715"/>
      <c r="L10" s="715"/>
      <c r="M10" s="715"/>
      <c r="N10" s="715"/>
      <c r="O10" s="715"/>
    </row>
    <row r="11" spans="1:15">
      <c r="A11" s="161"/>
      <c r="B11" s="155"/>
      <c r="C11" s="155"/>
      <c r="D11" s="162"/>
      <c r="E11" s="162"/>
      <c r="F11" s="158"/>
      <c r="G11" s="211">
        <f t="shared" si="0"/>
        <v>0</v>
      </c>
      <c r="K11" s="715"/>
      <c r="L11" s="715"/>
      <c r="M11" s="715"/>
      <c r="N11" s="715"/>
      <c r="O11" s="715"/>
    </row>
    <row r="12" spans="1:15">
      <c r="A12" s="161"/>
      <c r="B12" s="155"/>
      <c r="C12" s="155"/>
      <c r="D12" s="162"/>
      <c r="E12" s="162"/>
      <c r="F12" s="158"/>
      <c r="G12" s="211">
        <f t="shared" si="0"/>
        <v>0</v>
      </c>
      <c r="K12" s="715"/>
      <c r="L12" s="715"/>
      <c r="M12" s="715"/>
      <c r="N12" s="715"/>
      <c r="O12" s="715"/>
    </row>
    <row r="13" spans="1:15">
      <c r="A13" s="161"/>
      <c r="B13" s="155"/>
      <c r="C13" s="155"/>
      <c r="D13" s="163"/>
      <c r="E13" s="162"/>
      <c r="F13" s="158"/>
      <c r="G13" s="211">
        <f t="shared" si="0"/>
        <v>0</v>
      </c>
      <c r="K13" s="715"/>
      <c r="L13" s="715"/>
      <c r="M13" s="715"/>
      <c r="N13" s="715"/>
      <c r="O13" s="715"/>
    </row>
    <row r="14" spans="1:15">
      <c r="A14" s="161"/>
      <c r="B14" s="155"/>
      <c r="C14" s="155"/>
      <c r="D14" s="162"/>
      <c r="E14" s="162"/>
      <c r="F14" s="158"/>
      <c r="G14" s="211">
        <f t="shared" si="0"/>
        <v>0</v>
      </c>
    </row>
    <row r="15" spans="1:15">
      <c r="A15" s="161"/>
      <c r="B15" s="155"/>
      <c r="C15" s="160"/>
      <c r="D15" s="162"/>
      <c r="E15" s="162"/>
      <c r="F15" s="159"/>
      <c r="G15" s="211">
        <f t="shared" si="0"/>
        <v>0</v>
      </c>
    </row>
    <row r="16" spans="1:15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0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0</v>
      </c>
    </row>
    <row r="38" spans="1:7">
      <c r="A38" s="174" t="s">
        <v>152</v>
      </c>
      <c r="B38" s="175">
        <f>SUM(B37+C37)-C53</f>
        <v>0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</f>
        <v>0</v>
      </c>
      <c r="C41" s="183"/>
      <c r="D41" s="183"/>
      <c r="E41" s="183"/>
      <c r="F41" s="184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/>
      <c r="B44" s="370"/>
      <c r="C44" s="243"/>
      <c r="D44" s="247"/>
      <c r="E44" s="192"/>
      <c r="F44" s="193"/>
      <c r="G44" s="185"/>
    </row>
    <row r="45" spans="1:7" ht="15" customHeight="1">
      <c r="A45" s="194"/>
      <c r="B45" s="191"/>
      <c r="C45" s="251"/>
      <c r="D45" s="247"/>
      <c r="E45" s="192"/>
      <c r="F45" s="196"/>
      <c r="G45" s="185"/>
    </row>
    <row r="46" spans="1:7">
      <c r="A46" s="194"/>
      <c r="B46" s="195"/>
      <c r="C46" s="252"/>
      <c r="D46" s="247"/>
      <c r="E46" s="192"/>
      <c r="F46" s="191"/>
      <c r="G46" s="185"/>
    </row>
    <row r="47" spans="1:7">
      <c r="A47" s="198"/>
      <c r="B47" s="195"/>
      <c r="C47" s="253"/>
      <c r="D47" s="247"/>
      <c r="E47" s="192"/>
      <c r="F47" s="191"/>
      <c r="G47" s="185"/>
    </row>
    <row r="48" spans="1:7">
      <c r="A48" s="194"/>
      <c r="B48" s="195"/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4"/>
      <c r="B50" s="195"/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 ht="16.5" customHeight="1">
      <c r="A52" s="198"/>
      <c r="B52" s="195"/>
      <c r="C52" s="243"/>
      <c r="D52" s="248"/>
      <c r="E52" s="183"/>
      <c r="F52" s="191"/>
      <c r="G52" s="185"/>
    </row>
    <row r="53" spans="1:7" ht="27" customHeight="1">
      <c r="A53" s="198" t="s">
        <v>136</v>
      </c>
      <c r="B53" s="200">
        <f>SUM(B44:B52)</f>
        <v>0</v>
      </c>
      <c r="C53" s="246">
        <f>SUM(C44:C52)</f>
        <v>0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0</v>
      </c>
      <c r="C54" s="246"/>
      <c r="D54" s="250">
        <f>B54</f>
        <v>0</v>
      </c>
      <c r="E54" s="183"/>
      <c r="F54" s="173">
        <f>SUM(F44:F53)</f>
        <v>0</v>
      </c>
      <c r="G54" s="185"/>
    </row>
    <row r="55" spans="1:7" ht="16.5" customHeight="1"/>
    <row r="56" spans="1:7" ht="16.5" customHeight="1"/>
    <row r="57" spans="1:7" ht="16.5" customHeight="1"/>
    <row r="58" spans="1:7" ht="16.5" customHeight="1"/>
  </sheetData>
  <mergeCells count="2">
    <mergeCell ref="B1:D1"/>
    <mergeCell ref="K3:O1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C48" sqref="C48"/>
    </sheetView>
  </sheetViews>
  <sheetFormatPr defaultRowHeight="12.75"/>
  <cols>
    <col min="1" max="1" width="16.42578125" customWidth="1"/>
    <col min="2" max="2" width="14.85546875" customWidth="1"/>
    <col min="3" max="3" width="12.85546875" customWidth="1"/>
    <col min="4" max="4" width="10.42578125" customWidth="1"/>
    <col min="5" max="5" width="11.140625" customWidth="1"/>
    <col min="6" max="6" width="11.7109375" customWidth="1"/>
    <col min="7" max="7" width="9.140625" style="214" customWidth="1"/>
    <col min="11" max="15" width="0" hidden="1" customWidth="1"/>
  </cols>
  <sheetData>
    <row r="1" spans="1:15" ht="18">
      <c r="B1" s="711" t="s">
        <v>122</v>
      </c>
      <c r="C1" s="711"/>
      <c r="D1" s="711"/>
      <c r="F1" s="147"/>
      <c r="G1" s="210"/>
    </row>
    <row r="2" spans="1:15">
      <c r="B2" s="147"/>
      <c r="F2" s="148" t="s">
        <v>123</v>
      </c>
      <c r="G2" s="210"/>
    </row>
    <row r="3" spans="1:15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153</v>
      </c>
      <c r="F3" s="150" t="s">
        <v>129</v>
      </c>
      <c r="G3" s="211" t="s">
        <v>102</v>
      </c>
      <c r="K3" s="715"/>
      <c r="L3" s="715"/>
      <c r="M3" s="715"/>
      <c r="N3" s="715"/>
      <c r="O3" s="715"/>
    </row>
    <row r="4" spans="1:15" ht="15.75">
      <c r="A4" s="205" t="s">
        <v>106</v>
      </c>
      <c r="B4" s="152"/>
      <c r="C4" s="241"/>
      <c r="D4" s="204"/>
      <c r="E4" s="242"/>
      <c r="F4" s="242"/>
      <c r="G4" s="212">
        <f>B4+F4</f>
        <v>0</v>
      </c>
      <c r="K4" s="715"/>
      <c r="L4" s="715"/>
      <c r="M4" s="715"/>
      <c r="N4" s="715"/>
      <c r="O4" s="715"/>
    </row>
    <row r="5" spans="1:15" ht="15.75" customHeight="1">
      <c r="A5" s="154"/>
      <c r="B5" s="155"/>
      <c r="C5" s="155"/>
      <c r="D5" s="156"/>
      <c r="E5" s="157"/>
      <c r="F5" s="158"/>
      <c r="G5" s="211">
        <f t="shared" ref="G5:G36" si="0">SUM(B5:F5)</f>
        <v>0</v>
      </c>
      <c r="K5" s="715"/>
      <c r="L5" s="715"/>
      <c r="M5" s="715"/>
      <c r="N5" s="715"/>
      <c r="O5" s="715"/>
    </row>
    <row r="6" spans="1:15">
      <c r="A6" s="154"/>
      <c r="B6" s="155"/>
      <c r="C6" s="155"/>
      <c r="D6" s="157"/>
      <c r="E6" s="157"/>
      <c r="F6" s="159"/>
      <c r="G6" s="211">
        <f t="shared" si="0"/>
        <v>0</v>
      </c>
      <c r="K6" s="715"/>
      <c r="L6" s="715"/>
      <c r="M6" s="715"/>
      <c r="N6" s="715"/>
      <c r="O6" s="715"/>
    </row>
    <row r="7" spans="1:15">
      <c r="A7" s="154"/>
      <c r="B7" s="155"/>
      <c r="C7" s="155"/>
      <c r="D7" s="156"/>
      <c r="E7" s="155"/>
      <c r="F7" s="159"/>
      <c r="G7" s="211">
        <f t="shared" si="0"/>
        <v>0</v>
      </c>
      <c r="K7" s="715"/>
      <c r="L7" s="715"/>
      <c r="M7" s="715"/>
      <c r="N7" s="715"/>
      <c r="O7" s="715"/>
    </row>
    <row r="8" spans="1:15">
      <c r="A8" s="154"/>
      <c r="B8" s="155"/>
      <c r="C8" s="160"/>
      <c r="D8" s="162"/>
      <c r="E8" s="162"/>
      <c r="F8" s="159"/>
      <c r="G8" s="211">
        <f t="shared" si="0"/>
        <v>0</v>
      </c>
      <c r="K8" s="715"/>
      <c r="L8" s="715"/>
      <c r="M8" s="715"/>
      <c r="N8" s="715"/>
      <c r="O8" s="715"/>
    </row>
    <row r="9" spans="1:15">
      <c r="A9" s="161"/>
      <c r="B9" s="155"/>
      <c r="C9" s="155"/>
      <c r="D9" s="155"/>
      <c r="E9" s="162"/>
      <c r="F9" s="159"/>
      <c r="G9" s="211">
        <f t="shared" si="0"/>
        <v>0</v>
      </c>
      <c r="K9" s="715"/>
      <c r="L9" s="715"/>
      <c r="M9" s="715"/>
      <c r="N9" s="715"/>
      <c r="O9" s="715"/>
    </row>
    <row r="10" spans="1:15">
      <c r="A10" s="161"/>
      <c r="B10" s="160"/>
      <c r="C10" s="155"/>
      <c r="D10" s="155"/>
      <c r="E10" s="162"/>
      <c r="F10" s="159"/>
      <c r="G10" s="211">
        <f t="shared" si="0"/>
        <v>0</v>
      </c>
      <c r="K10" s="715"/>
      <c r="L10" s="715"/>
      <c r="M10" s="715"/>
      <c r="N10" s="715"/>
      <c r="O10" s="715"/>
    </row>
    <row r="11" spans="1:15">
      <c r="A11" s="161"/>
      <c r="B11" s="155"/>
      <c r="C11" s="155"/>
      <c r="D11" s="162"/>
      <c r="E11" s="162"/>
      <c r="F11" s="158"/>
      <c r="G11" s="211">
        <f t="shared" si="0"/>
        <v>0</v>
      </c>
      <c r="K11" s="715"/>
      <c r="L11" s="715"/>
      <c r="M11" s="715"/>
      <c r="N11" s="715"/>
      <c r="O11" s="715"/>
    </row>
    <row r="12" spans="1:15">
      <c r="A12" s="161"/>
      <c r="B12" s="155"/>
      <c r="C12" s="155"/>
      <c r="D12" s="162"/>
      <c r="E12" s="162"/>
      <c r="F12" s="158"/>
      <c r="G12" s="211">
        <f t="shared" si="0"/>
        <v>0</v>
      </c>
      <c r="K12" s="715"/>
      <c r="L12" s="715"/>
      <c r="M12" s="715"/>
      <c r="N12" s="715"/>
      <c r="O12" s="715"/>
    </row>
    <row r="13" spans="1:15">
      <c r="A13" s="161"/>
      <c r="B13" s="155"/>
      <c r="C13" s="155"/>
      <c r="D13" s="163"/>
      <c r="E13" s="162"/>
      <c r="F13" s="158"/>
      <c r="G13" s="211">
        <f t="shared" si="0"/>
        <v>0</v>
      </c>
      <c r="K13" s="715"/>
      <c r="L13" s="715"/>
      <c r="M13" s="715"/>
      <c r="N13" s="715"/>
      <c r="O13" s="715"/>
    </row>
    <row r="14" spans="1:15">
      <c r="A14" s="161"/>
      <c r="B14" s="155"/>
      <c r="C14" s="155"/>
      <c r="D14" s="162"/>
      <c r="E14" s="162"/>
      <c r="F14" s="158"/>
      <c r="G14" s="211">
        <f t="shared" si="0"/>
        <v>0</v>
      </c>
    </row>
    <row r="15" spans="1:15">
      <c r="A15" s="161"/>
      <c r="B15" s="155"/>
      <c r="C15" s="160"/>
      <c r="D15" s="162"/>
      <c r="E15" s="162"/>
      <c r="F15" s="159"/>
      <c r="G15" s="211">
        <f t="shared" si="0"/>
        <v>0</v>
      </c>
    </row>
    <row r="16" spans="1:15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 ht="14.25">
      <c r="A23" s="161"/>
      <c r="B23" s="191"/>
      <c r="C23" s="208"/>
      <c r="D23" s="406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11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11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11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11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11">
      <c r="A37" s="173" t="s">
        <v>104</v>
      </c>
      <c r="B37" s="173">
        <f t="shared" ref="B37:G37" si="1">SUM(B5:B29)</f>
        <v>0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0</v>
      </c>
    </row>
    <row r="38" spans="1:11" ht="15.75">
      <c r="A38" s="397" t="s">
        <v>152</v>
      </c>
      <c r="B38" s="401">
        <f>SUM(B37+C37)-C53</f>
        <v>0</v>
      </c>
      <c r="C38" s="173"/>
      <c r="D38" s="173"/>
      <c r="E38" s="176">
        <f>E37+E4</f>
        <v>0</v>
      </c>
      <c r="F38" s="177"/>
      <c r="G38" s="173"/>
    </row>
    <row r="39" spans="1:11">
      <c r="A39" s="178"/>
      <c r="B39" s="179"/>
      <c r="C39" s="164"/>
      <c r="D39" s="164"/>
      <c r="E39" s="164"/>
      <c r="F39" s="164"/>
      <c r="G39" s="173"/>
    </row>
    <row r="40" spans="1:11">
      <c r="A40" s="180"/>
      <c r="B40" s="171"/>
      <c r="C40" s="164"/>
      <c r="D40" s="164"/>
      <c r="E40" s="164"/>
      <c r="F40" s="164"/>
      <c r="G40" s="173"/>
    </row>
    <row r="41" spans="1:11" ht="15">
      <c r="A41" s="181" t="s">
        <v>151</v>
      </c>
      <c r="B41" s="182">
        <f>B38+B4+C4+E4+E37+D37</f>
        <v>0</v>
      </c>
      <c r="C41" s="183"/>
      <c r="D41" s="183"/>
      <c r="E41" s="183"/>
      <c r="F41" s="392"/>
      <c r="G41" s="185"/>
      <c r="I41">
        <f>B38-I40</f>
        <v>0</v>
      </c>
    </row>
    <row r="42" spans="1:11" ht="15">
      <c r="A42" s="186"/>
      <c r="B42" s="182"/>
      <c r="C42" s="183"/>
      <c r="D42" s="183"/>
      <c r="E42" s="183"/>
      <c r="F42" s="183"/>
      <c r="G42" s="185"/>
    </row>
    <row r="43" spans="1:11" ht="38.25">
      <c r="A43" s="187" t="s">
        <v>133</v>
      </c>
      <c r="B43" s="223" t="s">
        <v>138</v>
      </c>
      <c r="C43" s="245" t="s">
        <v>162</v>
      </c>
      <c r="D43" s="247"/>
      <c r="E43" s="183"/>
      <c r="F43" s="188" t="s">
        <v>135</v>
      </c>
      <c r="G43" s="185"/>
      <c r="I43">
        <f>B37-C47</f>
        <v>0</v>
      </c>
      <c r="K43">
        <f>I43-J43</f>
        <v>0</v>
      </c>
    </row>
    <row r="44" spans="1:11" ht="14.25" customHeight="1">
      <c r="A44" s="189"/>
      <c r="B44" s="370"/>
      <c r="C44" s="243"/>
      <c r="D44" s="247"/>
      <c r="E44" s="192"/>
      <c r="F44" s="193"/>
      <c r="G44" s="185"/>
    </row>
    <row r="45" spans="1:11" ht="15" customHeight="1">
      <c r="A45" s="194"/>
      <c r="B45" s="191"/>
      <c r="C45" s="251"/>
      <c r="D45" s="247"/>
      <c r="E45" s="192"/>
      <c r="F45" s="196"/>
      <c r="G45" s="185"/>
    </row>
    <row r="46" spans="1:11" ht="15" customHeight="1">
      <c r="A46" s="194"/>
      <c r="B46" s="195"/>
      <c r="C46" s="252"/>
      <c r="D46" s="247"/>
      <c r="E46" s="192"/>
      <c r="F46" s="191"/>
      <c r="G46" s="185"/>
    </row>
    <row r="47" spans="1:11">
      <c r="A47" s="198"/>
      <c r="B47" s="195"/>
      <c r="C47" s="253"/>
      <c r="D47" s="247"/>
      <c r="E47" s="192"/>
      <c r="F47" s="191"/>
      <c r="G47" s="185"/>
    </row>
    <row r="48" spans="1:11">
      <c r="A48" s="194"/>
      <c r="B48" s="195"/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4"/>
      <c r="B50" s="195"/>
      <c r="C50" s="243"/>
      <c r="D50" s="247"/>
      <c r="E50" s="192"/>
      <c r="F50" s="191"/>
      <c r="G50" s="185"/>
    </row>
    <row r="51" spans="1:7" ht="15" customHeight="1">
      <c r="A51" s="198"/>
      <c r="B51" s="195"/>
      <c r="C51" s="243"/>
      <c r="D51" s="247"/>
      <c r="E51" s="183"/>
      <c r="F51" s="191"/>
      <c r="G51" s="185"/>
    </row>
    <row r="52" spans="1:7" ht="15" customHeight="1">
      <c r="A52" s="198"/>
      <c r="B52" s="195"/>
      <c r="C52" s="243"/>
      <c r="D52" s="248"/>
      <c r="E52" s="183"/>
      <c r="F52" s="191"/>
      <c r="G52" s="185"/>
    </row>
    <row r="53" spans="1:7" ht="20.25" customHeight="1">
      <c r="A53" s="198" t="s">
        <v>136</v>
      </c>
      <c r="B53" s="200">
        <f>SUM(B44:B52)</f>
        <v>0</v>
      </c>
      <c r="C53" s="246">
        <f>SUM(C44:C52)</f>
        <v>0</v>
      </c>
      <c r="D53" s="249"/>
      <c r="E53" s="183"/>
      <c r="F53" s="191"/>
      <c r="G53" s="185"/>
    </row>
    <row r="54" spans="1:7" ht="18.75" customHeight="1">
      <c r="A54" s="202" t="s">
        <v>148</v>
      </c>
      <c r="B54" s="182">
        <f>B41-B53</f>
        <v>0</v>
      </c>
      <c r="C54" s="246"/>
      <c r="D54" s="250">
        <f>B54</f>
        <v>0</v>
      </c>
      <c r="E54" s="183"/>
      <c r="F54" s="173">
        <f>SUM(F44:F53)</f>
        <v>0</v>
      </c>
      <c r="G54" s="185"/>
    </row>
    <row r="55" spans="1:7" ht="16.5" customHeight="1"/>
    <row r="56" spans="1:7" ht="16.5" customHeight="1"/>
    <row r="57" spans="1:7" ht="16.5" customHeight="1"/>
    <row r="58" spans="1:7" ht="16.5" customHeight="1"/>
  </sheetData>
  <mergeCells count="2">
    <mergeCell ref="B1:D1"/>
    <mergeCell ref="K3:O1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40" workbookViewId="0">
      <selection activeCell="C11" sqref="C11"/>
    </sheetView>
  </sheetViews>
  <sheetFormatPr defaultRowHeight="12.75"/>
  <cols>
    <col min="1" max="1" width="16.42578125" customWidth="1"/>
    <col min="2" max="2" width="14.85546875" customWidth="1"/>
    <col min="3" max="3" width="12.85546875" customWidth="1"/>
    <col min="4" max="4" width="10.42578125" customWidth="1"/>
    <col min="5" max="5" width="11.140625" customWidth="1"/>
    <col min="6" max="6" width="11.7109375" customWidth="1"/>
    <col min="7" max="7" width="9.140625" style="214" customWidth="1"/>
    <col min="11" max="15" width="0" hidden="1" customWidth="1"/>
  </cols>
  <sheetData>
    <row r="1" spans="1:15" ht="18">
      <c r="B1" s="711" t="s">
        <v>122</v>
      </c>
      <c r="C1" s="711"/>
      <c r="D1" s="711"/>
      <c r="F1" s="147"/>
      <c r="G1" s="210"/>
    </row>
    <row r="2" spans="1:15">
      <c r="B2" s="147"/>
      <c r="F2" s="148" t="s">
        <v>123</v>
      </c>
      <c r="G2" s="210"/>
    </row>
    <row r="3" spans="1:15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153</v>
      </c>
      <c r="F3" s="150" t="s">
        <v>129</v>
      </c>
      <c r="G3" s="211" t="s">
        <v>102</v>
      </c>
      <c r="K3" s="715"/>
      <c r="L3" s="715"/>
      <c r="M3" s="715"/>
      <c r="N3" s="715"/>
      <c r="O3" s="715"/>
    </row>
    <row r="4" spans="1:15" ht="15.75">
      <c r="A4" s="205" t="s">
        <v>106</v>
      </c>
      <c r="B4" s="152"/>
      <c r="C4" s="241"/>
      <c r="D4" s="204"/>
      <c r="E4" s="242"/>
      <c r="F4" s="242"/>
      <c r="G4" s="212">
        <f>B4+F4</f>
        <v>0</v>
      </c>
      <c r="K4" s="715"/>
      <c r="L4" s="715"/>
      <c r="M4" s="715"/>
      <c r="N4" s="715"/>
      <c r="O4" s="715"/>
    </row>
    <row r="5" spans="1:15" ht="15.75" customHeight="1">
      <c r="A5" s="154"/>
      <c r="B5" s="155"/>
      <c r="C5" s="155"/>
      <c r="D5" s="156"/>
      <c r="E5" s="157"/>
      <c r="F5" s="158"/>
      <c r="G5" s="211">
        <f t="shared" ref="G5:G36" si="0">SUM(B5:F5)</f>
        <v>0</v>
      </c>
      <c r="K5" s="715"/>
      <c r="L5" s="715"/>
      <c r="M5" s="715"/>
      <c r="N5" s="715"/>
      <c r="O5" s="715"/>
    </row>
    <row r="6" spans="1:15">
      <c r="A6" s="154"/>
      <c r="B6" s="155"/>
      <c r="C6" s="155"/>
      <c r="D6" s="157"/>
      <c r="E6" s="157"/>
      <c r="F6" s="159"/>
      <c r="G6" s="211">
        <f t="shared" si="0"/>
        <v>0</v>
      </c>
      <c r="K6" s="715"/>
      <c r="L6" s="715"/>
      <c r="M6" s="715"/>
      <c r="N6" s="715"/>
      <c r="O6" s="715"/>
    </row>
    <row r="7" spans="1:15">
      <c r="A7" s="154"/>
      <c r="B7" s="155"/>
      <c r="C7" s="155"/>
      <c r="D7" s="156"/>
      <c r="E7" s="155"/>
      <c r="F7" s="159"/>
      <c r="G7" s="211">
        <f t="shared" si="0"/>
        <v>0</v>
      </c>
      <c r="K7" s="715"/>
      <c r="L7" s="715"/>
      <c r="M7" s="715"/>
      <c r="N7" s="715"/>
      <c r="O7" s="715"/>
    </row>
    <row r="8" spans="1:15">
      <c r="A8" s="154"/>
      <c r="B8" s="155"/>
      <c r="C8" s="160"/>
      <c r="D8" s="162"/>
      <c r="E8" s="162"/>
      <c r="F8" s="159"/>
      <c r="G8" s="211">
        <f t="shared" si="0"/>
        <v>0</v>
      </c>
      <c r="K8" s="715"/>
      <c r="L8" s="715"/>
      <c r="M8" s="715"/>
      <c r="N8" s="715"/>
      <c r="O8" s="715"/>
    </row>
    <row r="9" spans="1:15">
      <c r="A9" s="161"/>
      <c r="B9" s="155"/>
      <c r="C9" s="155"/>
      <c r="D9" s="155"/>
      <c r="E9" s="162"/>
      <c r="F9" s="159"/>
      <c r="G9" s="211">
        <f t="shared" si="0"/>
        <v>0</v>
      </c>
      <c r="K9" s="715"/>
      <c r="L9" s="715"/>
      <c r="M9" s="715"/>
      <c r="N9" s="715"/>
      <c r="O9" s="715"/>
    </row>
    <row r="10" spans="1:15">
      <c r="A10" s="161"/>
      <c r="B10" s="160"/>
      <c r="C10" s="155"/>
      <c r="D10" s="155"/>
      <c r="E10" s="162"/>
      <c r="F10" s="159"/>
      <c r="G10" s="211">
        <f t="shared" si="0"/>
        <v>0</v>
      </c>
      <c r="K10" s="715"/>
      <c r="L10" s="715"/>
      <c r="M10" s="715"/>
      <c r="N10" s="715"/>
      <c r="O10" s="715"/>
    </row>
    <row r="11" spans="1:15">
      <c r="A11" s="161"/>
      <c r="B11" s="155"/>
      <c r="C11" s="155"/>
      <c r="D11" s="162"/>
      <c r="E11" s="162"/>
      <c r="F11" s="158"/>
      <c r="G11" s="211">
        <f t="shared" si="0"/>
        <v>0</v>
      </c>
      <c r="K11" s="715"/>
      <c r="L11" s="715"/>
      <c r="M11" s="715"/>
      <c r="N11" s="715"/>
      <c r="O11" s="715"/>
    </row>
    <row r="12" spans="1:15">
      <c r="A12" s="161"/>
      <c r="B12" s="155"/>
      <c r="C12" s="155"/>
      <c r="D12" s="162"/>
      <c r="E12" s="162"/>
      <c r="F12" s="158"/>
      <c r="G12" s="211">
        <f t="shared" si="0"/>
        <v>0</v>
      </c>
      <c r="K12" s="715"/>
      <c r="L12" s="715"/>
      <c r="M12" s="715"/>
      <c r="N12" s="715"/>
      <c r="O12" s="715"/>
    </row>
    <row r="13" spans="1:15">
      <c r="A13" s="161"/>
      <c r="B13" s="155"/>
      <c r="C13" s="155"/>
      <c r="D13" s="163"/>
      <c r="E13" s="162"/>
      <c r="F13" s="158"/>
      <c r="G13" s="211">
        <f t="shared" si="0"/>
        <v>0</v>
      </c>
      <c r="K13" s="715"/>
      <c r="L13" s="715"/>
      <c r="M13" s="715"/>
      <c r="N13" s="715"/>
      <c r="O13" s="715"/>
    </row>
    <row r="14" spans="1:15">
      <c r="A14" s="161"/>
      <c r="B14" s="155"/>
      <c r="C14" s="155"/>
      <c r="D14" s="162"/>
      <c r="E14" s="162"/>
      <c r="F14" s="158"/>
      <c r="G14" s="211">
        <f t="shared" si="0"/>
        <v>0</v>
      </c>
    </row>
    <row r="15" spans="1:15">
      <c r="A15" s="161"/>
      <c r="B15" s="155"/>
      <c r="C15" s="160"/>
      <c r="D15" s="162"/>
      <c r="E15" s="162"/>
      <c r="F15" s="159"/>
      <c r="G15" s="211">
        <f t="shared" si="0"/>
        <v>0</v>
      </c>
    </row>
    <row r="16" spans="1:15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11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11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11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11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11">
      <c r="A37" s="173" t="s">
        <v>104</v>
      </c>
      <c r="B37" s="173">
        <f t="shared" ref="B37:G37" si="1">SUM(B5:B29)</f>
        <v>0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0</v>
      </c>
    </row>
    <row r="38" spans="1:11" ht="15.75">
      <c r="A38" s="397" t="s">
        <v>152</v>
      </c>
      <c r="B38" s="401">
        <f>SUM(B37+C37)-C53</f>
        <v>0</v>
      </c>
      <c r="C38" s="173"/>
      <c r="D38" s="173"/>
      <c r="E38" s="176">
        <f>E37+E4</f>
        <v>0</v>
      </c>
      <c r="F38" s="177"/>
      <c r="G38" s="173"/>
    </row>
    <row r="39" spans="1:11">
      <c r="A39" s="178"/>
      <c r="B39" s="179"/>
      <c r="C39" s="164"/>
      <c r="D39" s="164"/>
      <c r="E39" s="164"/>
      <c r="F39" s="164"/>
      <c r="G39" s="173"/>
    </row>
    <row r="40" spans="1:11">
      <c r="A40" s="180"/>
      <c r="B40" s="171"/>
      <c r="C40" s="164"/>
      <c r="D40" s="164"/>
      <c r="E40" s="164"/>
      <c r="F40" s="164"/>
      <c r="G40" s="173"/>
    </row>
    <row r="41" spans="1:11" ht="15">
      <c r="A41" s="181" t="s">
        <v>151</v>
      </c>
      <c r="B41" s="182">
        <f>B38+B4+C4+E4+E37</f>
        <v>0</v>
      </c>
      <c r="C41" s="183"/>
      <c r="D41" s="183"/>
      <c r="E41" s="183"/>
      <c r="F41" s="392"/>
      <c r="G41" s="185"/>
      <c r="I41">
        <f>B38-I40</f>
        <v>0</v>
      </c>
    </row>
    <row r="42" spans="1:11" ht="15">
      <c r="A42" s="186"/>
      <c r="B42" s="182"/>
      <c r="C42" s="183"/>
      <c r="D42" s="183"/>
      <c r="E42" s="183"/>
      <c r="F42" s="183"/>
      <c r="G42" s="185"/>
    </row>
    <row r="43" spans="1:11" ht="38.25">
      <c r="A43" s="187" t="s">
        <v>133</v>
      </c>
      <c r="B43" s="223" t="s">
        <v>138</v>
      </c>
      <c r="C43" s="245" t="s">
        <v>162</v>
      </c>
      <c r="D43" s="247"/>
      <c r="E43" s="183"/>
      <c r="F43" s="188" t="s">
        <v>135</v>
      </c>
      <c r="G43" s="185"/>
      <c r="I43">
        <f>B37-C47</f>
        <v>0</v>
      </c>
      <c r="K43">
        <f>I43-J43</f>
        <v>0</v>
      </c>
    </row>
    <row r="44" spans="1:11" ht="14.25" customHeight="1">
      <c r="A44" s="189"/>
      <c r="B44" s="370"/>
      <c r="C44" s="243"/>
      <c r="D44" s="247"/>
      <c r="E44" s="192"/>
      <c r="F44" s="193"/>
      <c r="G44" s="185"/>
    </row>
    <row r="45" spans="1:11" ht="15" customHeight="1">
      <c r="A45" s="194"/>
      <c r="B45" s="191"/>
      <c r="C45" s="251"/>
      <c r="D45" s="247"/>
      <c r="E45" s="192"/>
      <c r="F45" s="196"/>
      <c r="G45" s="185"/>
    </row>
    <row r="46" spans="1:11">
      <c r="A46" s="194"/>
      <c r="B46" s="195"/>
      <c r="C46" s="252"/>
      <c r="D46" s="247"/>
      <c r="E46" s="192"/>
      <c r="F46" s="191"/>
      <c r="G46" s="185"/>
    </row>
    <row r="47" spans="1:11">
      <c r="A47" s="198"/>
      <c r="B47" s="195"/>
      <c r="C47" s="253"/>
      <c r="D47" s="247"/>
      <c r="E47" s="192"/>
      <c r="F47" s="191"/>
      <c r="G47" s="185"/>
    </row>
    <row r="48" spans="1:11">
      <c r="A48" s="194"/>
      <c r="B48" s="195"/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4"/>
      <c r="B50" s="195"/>
      <c r="C50" s="243"/>
      <c r="D50" s="247"/>
      <c r="E50" s="192"/>
      <c r="F50" s="191"/>
      <c r="G50" s="185"/>
    </row>
    <row r="51" spans="1:7" ht="15" customHeight="1">
      <c r="A51" s="198"/>
      <c r="B51" s="195"/>
      <c r="C51" s="243"/>
      <c r="D51" s="247"/>
      <c r="E51" s="183"/>
      <c r="F51" s="191"/>
      <c r="G51" s="185"/>
    </row>
    <row r="52" spans="1:7" ht="15" customHeight="1">
      <c r="A52" s="198"/>
      <c r="B52" s="195"/>
      <c r="C52" s="243"/>
      <c r="D52" s="248"/>
      <c r="E52" s="183"/>
      <c r="F52" s="191"/>
      <c r="G52" s="185"/>
    </row>
    <row r="53" spans="1:7" ht="20.25" customHeight="1">
      <c r="A53" s="198" t="s">
        <v>136</v>
      </c>
      <c r="B53" s="200">
        <f>SUM(B44:B52)</f>
        <v>0</v>
      </c>
      <c r="C53" s="246">
        <f>SUM(C44:C52)</f>
        <v>0</v>
      </c>
      <c r="D53" s="249"/>
      <c r="E53" s="183"/>
      <c r="F53" s="191"/>
      <c r="G53" s="185"/>
    </row>
    <row r="54" spans="1:7" ht="18.75" customHeight="1">
      <c r="A54" s="202" t="s">
        <v>148</v>
      </c>
      <c r="B54" s="182">
        <f>B41-B53</f>
        <v>0</v>
      </c>
      <c r="C54" s="246"/>
      <c r="D54" s="250">
        <f>B54</f>
        <v>0</v>
      </c>
      <c r="E54" s="183"/>
      <c r="F54" s="173">
        <f>SUM(F44:F53)</f>
        <v>0</v>
      </c>
      <c r="G54" s="185"/>
    </row>
    <row r="55" spans="1:7" ht="16.5" customHeight="1"/>
    <row r="56" spans="1:7" ht="16.5" customHeight="1"/>
    <row r="57" spans="1:7" ht="16.5" customHeight="1"/>
    <row r="58" spans="1:7" ht="16.5" customHeight="1"/>
  </sheetData>
  <mergeCells count="2">
    <mergeCell ref="B1:D1"/>
    <mergeCell ref="K3:O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5"/>
  <sheetViews>
    <sheetView tabSelected="1" view="pageBreakPreview" zoomScaleNormal="100" zoomScaleSheetLayoutView="100" workbookViewId="0">
      <pane ySplit="6" topLeftCell="A7" activePane="bottomLeft" state="frozen"/>
      <selection pane="bottomLeft" activeCell="D180" sqref="D180"/>
    </sheetView>
  </sheetViews>
  <sheetFormatPr defaultRowHeight="18"/>
  <cols>
    <col min="1" max="1" width="36.5703125" style="1" customWidth="1"/>
    <col min="2" max="2" width="11.140625" style="1" customWidth="1"/>
    <col min="3" max="3" width="15.42578125" style="2" customWidth="1"/>
    <col min="4" max="4" width="34.5703125" style="270" customWidth="1"/>
    <col min="5" max="10" width="30.85546875" style="270" hidden="1" customWidth="1"/>
    <col min="11" max="11" width="30.85546875" style="237" hidden="1" customWidth="1"/>
    <col min="12" max="17" width="30.85546875" style="270" hidden="1" customWidth="1"/>
    <col min="18" max="23" width="30.85546875" style="1" hidden="1" customWidth="1"/>
    <col min="24" max="24" width="30.85546875" style="237" hidden="1" customWidth="1"/>
    <col min="25" max="29" width="30.85546875" style="1" hidden="1" customWidth="1"/>
    <col min="30" max="30" width="30.85546875" style="3" hidden="1" customWidth="1"/>
    <col min="31" max="31" width="30.85546875" style="1" customWidth="1"/>
    <col min="32" max="32" width="12" style="1" customWidth="1"/>
    <col min="33" max="33" width="14" style="1" customWidth="1"/>
    <col min="34" max="34" width="12.28515625" style="1" customWidth="1"/>
    <col min="35" max="35" width="12.5703125" style="1" customWidth="1"/>
    <col min="36" max="36" width="11.7109375" style="1" customWidth="1"/>
    <col min="37" max="37" width="9.140625" style="1"/>
    <col min="38" max="38" width="10.28515625" style="1" customWidth="1"/>
    <col min="39" max="16384" width="9.140625" style="1"/>
  </cols>
  <sheetData>
    <row r="1" spans="1:34">
      <c r="C1" s="271" t="s">
        <v>0</v>
      </c>
      <c r="R1" s="4"/>
      <c r="S1" s="4"/>
      <c r="T1" s="4"/>
      <c r="U1" s="4"/>
      <c r="V1" s="4"/>
      <c r="W1" s="4"/>
      <c r="X1" s="365"/>
      <c r="Y1" s="4"/>
      <c r="Z1" s="4"/>
      <c r="AA1" s="4"/>
      <c r="AB1" s="4"/>
      <c r="AC1" s="4"/>
    </row>
    <row r="2" spans="1:34">
      <c r="A2" s="1" t="s">
        <v>1</v>
      </c>
      <c r="C2" s="687" t="s">
        <v>218</v>
      </c>
      <c r="D2" s="687"/>
      <c r="E2" s="272"/>
      <c r="F2" s="272"/>
      <c r="G2" s="272"/>
      <c r="H2" s="272"/>
      <c r="I2" s="272"/>
      <c r="J2" s="272"/>
      <c r="K2" s="335"/>
      <c r="L2" s="272"/>
      <c r="M2" s="272"/>
      <c r="N2" s="272"/>
      <c r="O2" s="272"/>
      <c r="P2" s="272"/>
      <c r="Q2" s="272"/>
      <c r="R2" s="5"/>
      <c r="S2" s="5"/>
      <c r="T2" s="5"/>
      <c r="U2" s="5"/>
      <c r="V2" s="5"/>
      <c r="W2" s="5"/>
      <c r="X2" s="335"/>
      <c r="Y2" s="5"/>
      <c r="Z2" s="5"/>
      <c r="AA2" s="5"/>
      <c r="AB2" s="5"/>
      <c r="AC2" s="5"/>
      <c r="AD2" s="6"/>
    </row>
    <row r="3" spans="1:34" ht="16.899999999999999" customHeight="1">
      <c r="A3" s="695" t="s">
        <v>253</v>
      </c>
      <c r="C3" s="7"/>
      <c r="D3" s="2" t="s">
        <v>3</v>
      </c>
      <c r="Q3" s="273"/>
      <c r="R3" s="8"/>
      <c r="S3" s="8"/>
      <c r="T3" s="8"/>
      <c r="U3" s="8"/>
      <c r="V3" s="8"/>
      <c r="W3" s="8"/>
      <c r="X3" s="361"/>
      <c r="Y3" s="8"/>
      <c r="Z3" s="8"/>
      <c r="AA3" s="8"/>
      <c r="AB3" s="8"/>
      <c r="AC3" s="8"/>
      <c r="AD3" s="9"/>
    </row>
    <row r="4" spans="1:34" ht="18" customHeight="1">
      <c r="A4" s="10" t="s">
        <v>4</v>
      </c>
      <c r="B4" s="10"/>
      <c r="C4" s="256"/>
      <c r="D4" s="274"/>
      <c r="E4" s="274"/>
      <c r="F4" s="274"/>
      <c r="G4" s="274"/>
      <c r="H4" s="274"/>
      <c r="I4" s="274"/>
      <c r="J4" s="274"/>
      <c r="K4" s="336"/>
      <c r="L4" s="274"/>
      <c r="M4" s="274"/>
      <c r="N4" s="274"/>
      <c r="O4" s="274"/>
      <c r="P4" s="274"/>
    </row>
    <row r="5" spans="1:34" ht="31.15" customHeight="1" thickBot="1">
      <c r="A5" s="553"/>
      <c r="B5" s="658" t="s">
        <v>209</v>
      </c>
      <c r="C5" s="554" t="s">
        <v>240</v>
      </c>
      <c r="D5" s="275" t="s">
        <v>5</v>
      </c>
      <c r="E5" s="275" t="s">
        <v>109</v>
      </c>
      <c r="F5" s="275" t="s">
        <v>110</v>
      </c>
      <c r="G5" s="275" t="s">
        <v>111</v>
      </c>
      <c r="H5" s="275" t="s">
        <v>112</v>
      </c>
      <c r="I5" s="275" t="s">
        <v>113</v>
      </c>
      <c r="J5" s="275" t="s">
        <v>114</v>
      </c>
      <c r="K5" s="337" t="s">
        <v>115</v>
      </c>
      <c r="L5" s="337" t="s">
        <v>116</v>
      </c>
      <c r="M5" s="275" t="s">
        <v>117</v>
      </c>
      <c r="N5" s="275" t="s">
        <v>118</v>
      </c>
      <c r="O5" s="275" t="s">
        <v>119</v>
      </c>
      <c r="P5" s="275" t="s">
        <v>120</v>
      </c>
      <c r="Q5" s="275" t="s">
        <v>6</v>
      </c>
      <c r="R5" s="275" t="s">
        <v>109</v>
      </c>
      <c r="S5" s="275" t="s">
        <v>110</v>
      </c>
      <c r="T5" s="275" t="s">
        <v>111</v>
      </c>
      <c r="U5" s="275" t="s">
        <v>112</v>
      </c>
      <c r="V5" s="275" t="s">
        <v>113</v>
      </c>
      <c r="W5" s="337" t="s">
        <v>114</v>
      </c>
      <c r="X5" s="337" t="s">
        <v>115</v>
      </c>
      <c r="Y5" s="337" t="s">
        <v>116</v>
      </c>
      <c r="Z5" s="275" t="s">
        <v>117</v>
      </c>
      <c r="AA5" s="275" t="s">
        <v>118</v>
      </c>
      <c r="AB5" s="275" t="s">
        <v>119</v>
      </c>
      <c r="AC5" s="275" t="s">
        <v>120</v>
      </c>
      <c r="AD5" s="11" t="s">
        <v>214</v>
      </c>
    </row>
    <row r="6" spans="1:34" ht="25.5" customHeight="1" thickBot="1">
      <c r="A6" s="660" t="s">
        <v>206</v>
      </c>
      <c r="B6" s="661"/>
      <c r="C6" s="662"/>
      <c r="D6" s="663"/>
      <c r="E6" s="657"/>
      <c r="F6" s="15"/>
      <c r="G6" s="15"/>
      <c r="H6" s="15"/>
      <c r="I6" s="15"/>
      <c r="J6" s="15"/>
      <c r="K6" s="338"/>
      <c r="L6" s="15"/>
      <c r="M6" s="15"/>
      <c r="N6" s="15"/>
      <c r="O6" s="15"/>
      <c r="P6" s="15"/>
      <c r="Q6" s="15"/>
      <c r="R6" s="135"/>
      <c r="S6" s="135"/>
      <c r="T6" s="135"/>
      <c r="U6" s="135"/>
      <c r="V6" s="135"/>
      <c r="W6" s="135"/>
      <c r="X6" s="366"/>
      <c r="Y6" s="135"/>
      <c r="Z6" s="135"/>
      <c r="AA6" s="135"/>
      <c r="AB6" s="135"/>
      <c r="AC6" s="135"/>
      <c r="AD6" s="16"/>
      <c r="AE6" s="487"/>
    </row>
    <row r="7" spans="1:34" ht="27" customHeight="1">
      <c r="A7" s="659" t="s">
        <v>8</v>
      </c>
      <c r="B7" s="655">
        <v>111</v>
      </c>
      <c r="C7" s="656">
        <f>C18+C31</f>
        <v>0</v>
      </c>
      <c r="D7" s="626">
        <f>450603.97+2126896.03+1606372.52+1994185.25+1748090.07+2777897.13+2485276.96+1110064.15+1752496.32-520364.78+1532189.23</f>
        <v>17063706.850000001</v>
      </c>
      <c r="E7" s="276">
        <f>258684.82-1704.23</f>
        <v>256980.59</v>
      </c>
      <c r="F7" s="276">
        <f>944718.86+384727.43-8706.32</f>
        <v>1320739.97</v>
      </c>
      <c r="G7" s="276">
        <f>792400+358731.69+1110.46</f>
        <v>1152242.1499999999</v>
      </c>
      <c r="H7" s="276">
        <f>958368.31+383841.66+733258.34</f>
        <v>2075468.31</v>
      </c>
      <c r="I7" s="276"/>
      <c r="J7" s="276"/>
      <c r="K7" s="276"/>
      <c r="L7" s="339"/>
      <c r="M7" s="276"/>
      <c r="N7" s="276"/>
      <c r="O7" s="480"/>
      <c r="P7" s="276"/>
      <c r="Q7" s="276">
        <f>SUM(R7:AC7)</f>
        <v>3992244.17</v>
      </c>
      <c r="R7" s="281">
        <f>12022.14+168094.7+33395.48+12138.76+31329</f>
        <v>256980.08000000005</v>
      </c>
      <c r="S7" s="281">
        <f>818090.49+113342+6700.16+11452.32+508+3395.24+4798.51+722+264915.86+58000</f>
        <v>1281924.58</v>
      </c>
      <c r="T7" s="281">
        <f>85882+750523.59+7074.7+21887+11842.52+267053.3+16309.8+23485</f>
        <v>1184057.9099999999</v>
      </c>
      <c r="U7" s="281">
        <f>108476+849688.48+7583.08+4354.61+299179.43</f>
        <v>1269281.5999999999</v>
      </c>
      <c r="V7" s="281"/>
      <c r="W7" s="281"/>
      <c r="X7" s="281"/>
      <c r="Y7" s="19"/>
      <c r="Z7" s="281"/>
      <c r="AA7" s="281"/>
      <c r="AB7" s="281"/>
      <c r="AC7" s="281"/>
      <c r="AD7" s="281">
        <f>C7+D7-Q7</f>
        <v>13071462.680000002</v>
      </c>
      <c r="AE7" s="713"/>
      <c r="AF7" s="714"/>
      <c r="AG7" s="257"/>
    </row>
    <row r="8" spans="1:34" ht="37.5" hidden="1">
      <c r="A8" s="31" t="s">
        <v>9</v>
      </c>
      <c r="B8" s="31"/>
      <c r="C8" s="32"/>
      <c r="D8" s="277"/>
      <c r="E8" s="278"/>
      <c r="F8" s="278"/>
      <c r="G8" s="278"/>
      <c r="H8" s="278"/>
      <c r="I8" s="278"/>
      <c r="J8" s="278"/>
      <c r="K8" s="23"/>
      <c r="L8" s="278"/>
      <c r="M8" s="278"/>
      <c r="N8" s="278"/>
      <c r="O8" s="278"/>
      <c r="P8" s="278"/>
      <c r="Q8" s="277"/>
      <c r="R8" s="23"/>
      <c r="S8" s="23"/>
      <c r="T8" s="23"/>
      <c r="U8" s="23"/>
      <c r="V8" s="23"/>
      <c r="W8" s="23"/>
      <c r="X8" s="23"/>
      <c r="Y8" s="23"/>
      <c r="Z8" s="278"/>
      <c r="AA8" s="23"/>
      <c r="AB8" s="23"/>
      <c r="AC8" s="23"/>
      <c r="AD8" s="291"/>
      <c r="AE8" s="25"/>
      <c r="AF8" s="220"/>
      <c r="AG8" s="220"/>
      <c r="AH8" s="20"/>
    </row>
    <row r="9" spans="1:34" s="595" customFormat="1" ht="18.75">
      <c r="A9" s="585" t="s">
        <v>217</v>
      </c>
      <c r="B9" s="585">
        <v>111</v>
      </c>
      <c r="C9" s="586">
        <v>0</v>
      </c>
      <c r="D9" s="587">
        <f>D7-D18-D31</f>
        <v>0</v>
      </c>
      <c r="E9" s="588"/>
      <c r="F9" s="589"/>
      <c r="G9" s="589"/>
      <c r="H9" s="589"/>
      <c r="I9" s="589"/>
      <c r="J9" s="589"/>
      <c r="K9" s="590"/>
      <c r="L9" s="589"/>
      <c r="M9" s="589"/>
      <c r="N9" s="589"/>
      <c r="O9" s="589"/>
      <c r="P9" s="589"/>
      <c r="Q9" s="591"/>
      <c r="R9" s="590"/>
      <c r="S9" s="590"/>
      <c r="T9" s="590"/>
      <c r="U9" s="590"/>
      <c r="V9" s="590"/>
      <c r="W9" s="590"/>
      <c r="X9" s="590"/>
      <c r="Y9" s="590"/>
      <c r="Z9" s="589"/>
      <c r="AA9" s="590"/>
      <c r="AB9" s="590"/>
      <c r="AC9" s="590"/>
      <c r="AD9" s="592"/>
      <c r="AE9" s="593"/>
      <c r="AF9" s="594"/>
      <c r="AG9" s="594"/>
      <c r="AH9" s="593"/>
    </row>
    <row r="10" spans="1:34" ht="30" customHeight="1">
      <c r="A10" s="653" t="s">
        <v>186</v>
      </c>
      <c r="B10" s="653"/>
      <c r="C10" s="645">
        <f>C23+C35</f>
        <v>0</v>
      </c>
      <c r="D10" s="623">
        <f>D11+D12</f>
        <v>70371</v>
      </c>
      <c r="E10" s="449">
        <f>SUM(E11:E12)</f>
        <v>1704.23</v>
      </c>
      <c r="F10" s="450">
        <f>SUM(F11:F12)</f>
        <v>8568.9</v>
      </c>
      <c r="G10" s="450">
        <f>SUM(G11:G12)</f>
        <v>8288.26</v>
      </c>
      <c r="H10" s="450">
        <f>SUM(H11:H12)</f>
        <v>600</v>
      </c>
      <c r="I10" s="450">
        <f>SUM(I11:I12)</f>
        <v>0</v>
      </c>
      <c r="J10" s="450">
        <f t="shared" ref="J10:P10" si="0">SUM(J11:J12)</f>
        <v>0</v>
      </c>
      <c r="K10" s="450">
        <f t="shared" si="0"/>
        <v>0</v>
      </c>
      <c r="L10" s="450">
        <f t="shared" si="0"/>
        <v>0</v>
      </c>
      <c r="M10" s="450">
        <f t="shared" si="0"/>
        <v>0</v>
      </c>
      <c r="N10" s="450">
        <f t="shared" si="0"/>
        <v>0</v>
      </c>
      <c r="O10" s="450">
        <f t="shared" si="0"/>
        <v>0</v>
      </c>
      <c r="P10" s="450">
        <f t="shared" si="0"/>
        <v>0</v>
      </c>
      <c r="Q10" s="448">
        <f>SUM(R10:AC10)</f>
        <v>18861.39</v>
      </c>
      <c r="R10" s="451">
        <f>SUM(R11:R12)</f>
        <v>1704.23</v>
      </c>
      <c r="S10" s="450">
        <f>SUM(S11:S12)</f>
        <v>8568.9</v>
      </c>
      <c r="T10" s="450">
        <f>SUM(T11:T12)</f>
        <v>8288.2599999999984</v>
      </c>
      <c r="U10" s="450">
        <f>SUM(U11:U12)</f>
        <v>300</v>
      </c>
      <c r="V10" s="450">
        <f>SUM(V11:V12)</f>
        <v>0</v>
      </c>
      <c r="W10" s="450">
        <f t="shared" ref="W10:AC10" si="1">SUM(W11:W12)</f>
        <v>0</v>
      </c>
      <c r="X10" s="450">
        <f t="shared" si="1"/>
        <v>0</v>
      </c>
      <c r="Y10" s="450">
        <f t="shared" si="1"/>
        <v>0</v>
      </c>
      <c r="Z10" s="450">
        <f t="shared" si="1"/>
        <v>0</v>
      </c>
      <c r="AA10" s="450">
        <f t="shared" si="1"/>
        <v>0</v>
      </c>
      <c r="AB10" s="450">
        <f t="shared" si="1"/>
        <v>0</v>
      </c>
      <c r="AC10" s="450">
        <f t="shared" si="1"/>
        <v>0</v>
      </c>
      <c r="AD10" s="279">
        <f>C10+D10-Q10</f>
        <v>51509.61</v>
      </c>
      <c r="AE10" s="20"/>
      <c r="AF10" s="220"/>
      <c r="AG10" s="220"/>
    </row>
    <row r="11" spans="1:34" ht="31.5" customHeight="1">
      <c r="A11" s="504" t="s">
        <v>208</v>
      </c>
      <c r="B11" s="504">
        <v>111</v>
      </c>
      <c r="C11" s="452">
        <v>0</v>
      </c>
      <c r="D11" s="448">
        <f>12730.11+8128.62+9025.05+4820.22+14622.42+14622.42+6422.16</f>
        <v>70371</v>
      </c>
      <c r="E11" s="279">
        <v>1704.23</v>
      </c>
      <c r="F11" s="279">
        <f>3324.98+3228.33+1715.59</f>
        <v>8268.9</v>
      </c>
      <c r="G11" s="279">
        <f>2822.16+5166.1</f>
        <v>7988.26</v>
      </c>
      <c r="H11" s="279"/>
      <c r="I11" s="279"/>
      <c r="J11" s="279"/>
      <c r="K11" s="344"/>
      <c r="L11" s="344"/>
      <c r="M11" s="279"/>
      <c r="N11" s="279"/>
      <c r="O11" s="279"/>
      <c r="P11" s="279"/>
      <c r="Q11" s="448">
        <f>SUM(R11:AC11)</f>
        <v>17961.39</v>
      </c>
      <c r="R11" s="344">
        <v>1704.23</v>
      </c>
      <c r="S11" s="279">
        <f>3231.96+5036.94</f>
        <v>8268.9</v>
      </c>
      <c r="T11" s="279">
        <f>3351.24+1504.86+2455.16+677</f>
        <v>7988.2599999999993</v>
      </c>
      <c r="U11" s="279"/>
      <c r="V11" s="279"/>
      <c r="W11" s="279"/>
      <c r="X11" s="344"/>
      <c r="Y11" s="344"/>
      <c r="Z11" s="279"/>
      <c r="AA11" s="279"/>
      <c r="AB11" s="279"/>
      <c r="AC11" s="485"/>
      <c r="AD11" s="279">
        <f>C11+D11-Q11</f>
        <v>52409.61</v>
      </c>
      <c r="AE11" s="498"/>
      <c r="AF11" s="220"/>
      <c r="AG11" s="220"/>
    </row>
    <row r="12" spans="1:34" ht="21" customHeight="1">
      <c r="A12" s="505" t="s">
        <v>207</v>
      </c>
      <c r="B12" s="505">
        <v>112</v>
      </c>
      <c r="C12" s="452">
        <v>0</v>
      </c>
      <c r="D12" s="279">
        <v>0</v>
      </c>
      <c r="E12" s="279"/>
      <c r="F12" s="279">
        <v>300</v>
      </c>
      <c r="G12" s="279">
        <v>300</v>
      </c>
      <c r="H12" s="279">
        <f>300+300</f>
        <v>600</v>
      </c>
      <c r="I12" s="279"/>
      <c r="J12" s="279"/>
      <c r="K12" s="279"/>
      <c r="L12" s="344"/>
      <c r="M12" s="279"/>
      <c r="N12" s="279"/>
      <c r="O12" s="279"/>
      <c r="P12" s="279"/>
      <c r="Q12" s="279">
        <f>SUM(R12:AC12)</f>
        <v>900</v>
      </c>
      <c r="R12" s="344"/>
      <c r="S12" s="279">
        <v>300</v>
      </c>
      <c r="T12" s="279">
        <v>300</v>
      </c>
      <c r="U12" s="279">
        <v>300</v>
      </c>
      <c r="V12" s="279"/>
      <c r="W12" s="279"/>
      <c r="X12" s="279"/>
      <c r="Y12" s="344"/>
      <c r="Z12" s="279"/>
      <c r="AA12" s="279"/>
      <c r="AB12" s="279"/>
      <c r="AC12" s="485"/>
      <c r="AD12" s="279">
        <f>C12+D12-Q12</f>
        <v>-900</v>
      </c>
      <c r="AE12" s="20"/>
      <c r="AF12" s="220"/>
      <c r="AG12" s="220"/>
    </row>
    <row r="13" spans="1:34" ht="29.45" customHeight="1">
      <c r="A13" s="654" t="s">
        <v>11</v>
      </c>
      <c r="B13" s="655">
        <v>119</v>
      </c>
      <c r="C13" s="656">
        <f>C24+C36</f>
        <v>0</v>
      </c>
      <c r="D13" s="626">
        <f>469884.35+576921.5+596037.16+530400.54+546724.12+615595.47+778788.57+254937.28+520364.78+47248.74</f>
        <v>4936902.51</v>
      </c>
      <c r="E13" s="281"/>
      <c r="F13" s="281">
        <f>353924.67+6970.73</f>
        <v>360895.39999999997</v>
      </c>
      <c r="G13" s="281">
        <f>363127.81-6276.56</f>
        <v>356851.25</v>
      </c>
      <c r="H13" s="281">
        <v>397800</v>
      </c>
      <c r="I13" s="281"/>
      <c r="J13" s="281"/>
      <c r="K13" s="281"/>
      <c r="L13" s="19"/>
      <c r="M13" s="281"/>
      <c r="N13" s="281"/>
      <c r="O13" s="281"/>
      <c r="P13" s="281"/>
      <c r="Q13" s="281">
        <f>SUM(R13:AC13)</f>
        <v>1115546.6499999999</v>
      </c>
      <c r="R13" s="19"/>
      <c r="S13" s="281">
        <f>360895.4</f>
        <v>360895.4</v>
      </c>
      <c r="T13" s="19">
        <v>356851.25</v>
      </c>
      <c r="U13" s="281">
        <f>402103.46-4303.46</f>
        <v>397800</v>
      </c>
      <c r="V13" s="281"/>
      <c r="W13" s="281"/>
      <c r="X13" s="281"/>
      <c r="Y13" s="19"/>
      <c r="Z13" s="281"/>
      <c r="AA13" s="281"/>
      <c r="AB13" s="281"/>
      <c r="AC13" s="454"/>
      <c r="AD13" s="279">
        <f>C13+D13-Q13</f>
        <v>3821355.86</v>
      </c>
      <c r="AE13" s="240"/>
      <c r="AF13" s="465"/>
      <c r="AG13" s="220"/>
      <c r="AH13" s="20"/>
    </row>
    <row r="14" spans="1:34" ht="27.75" hidden="1" customHeight="1">
      <c r="A14" s="31" t="s">
        <v>9</v>
      </c>
      <c r="B14" s="31"/>
      <c r="C14" s="32"/>
      <c r="D14" s="277">
        <f>D8*30.2%</f>
        <v>0</v>
      </c>
      <c r="E14" s="277"/>
      <c r="F14" s="277"/>
      <c r="G14" s="277"/>
      <c r="H14" s="277"/>
      <c r="I14" s="277"/>
      <c r="J14" s="277"/>
      <c r="K14" s="33"/>
      <c r="L14" s="277"/>
      <c r="M14" s="277"/>
      <c r="N14" s="277"/>
      <c r="O14" s="277"/>
      <c r="P14" s="277"/>
      <c r="Q14" s="277">
        <f>Q8*30.2%</f>
        <v>0</v>
      </c>
      <c r="R14" s="33"/>
      <c r="S14" s="33"/>
      <c r="T14" s="33"/>
      <c r="U14" s="33"/>
      <c r="V14" s="33"/>
      <c r="W14" s="33"/>
      <c r="X14" s="33"/>
      <c r="Y14" s="33"/>
      <c r="Z14" s="277"/>
      <c r="AA14" s="33"/>
      <c r="AB14" s="33"/>
      <c r="AC14" s="33"/>
      <c r="AD14" s="281">
        <f>C14+D14-Q14</f>
        <v>0</v>
      </c>
    </row>
    <row r="15" spans="1:34" s="595" customFormat="1" ht="25.5" customHeight="1">
      <c r="A15" s="616" t="s">
        <v>217</v>
      </c>
      <c r="B15" s="616"/>
      <c r="C15" s="617"/>
      <c r="D15" s="618">
        <f>D13-D24-D36</f>
        <v>0</v>
      </c>
      <c r="E15" s="618"/>
      <c r="F15" s="618"/>
      <c r="G15" s="618"/>
      <c r="H15" s="618"/>
      <c r="I15" s="618"/>
      <c r="J15" s="618"/>
      <c r="K15" s="619"/>
      <c r="L15" s="618"/>
      <c r="M15" s="618"/>
      <c r="N15" s="618"/>
      <c r="O15" s="618"/>
      <c r="P15" s="618"/>
      <c r="Q15" s="618"/>
      <c r="R15" s="619"/>
      <c r="S15" s="619"/>
      <c r="T15" s="619"/>
      <c r="U15" s="619"/>
      <c r="V15" s="619"/>
      <c r="W15" s="619"/>
      <c r="X15" s="619"/>
      <c r="Y15" s="619"/>
      <c r="Z15" s="618"/>
      <c r="AA15" s="619"/>
      <c r="AB15" s="619"/>
      <c r="AC15" s="619"/>
      <c r="AD15" s="611"/>
    </row>
    <row r="16" spans="1:34" s="35" customFormat="1" ht="19.5" thickBot="1">
      <c r="A16" s="215" t="s">
        <v>12</v>
      </c>
      <c r="B16" s="506"/>
      <c r="C16" s="216">
        <f>C7+C10+C13</f>
        <v>0</v>
      </c>
      <c r="D16" s="283">
        <f>D7+D10+D13</f>
        <v>22070980.359999999</v>
      </c>
      <c r="E16" s="283">
        <f>E7+E10+E13</f>
        <v>258684.82</v>
      </c>
      <c r="F16" s="283">
        <f>F7+F10+F13</f>
        <v>1690204.2699999998</v>
      </c>
      <c r="G16" s="283">
        <f>G7+G10+G13</f>
        <v>1517381.66</v>
      </c>
      <c r="H16" s="283">
        <v>68</v>
      </c>
      <c r="I16" s="283">
        <f t="shared" ref="I16:AD16" si="2">I7+I10+I13</f>
        <v>0</v>
      </c>
      <c r="J16" s="283">
        <f t="shared" si="2"/>
        <v>0</v>
      </c>
      <c r="K16" s="217">
        <f t="shared" si="2"/>
        <v>0</v>
      </c>
      <c r="L16" s="283">
        <f t="shared" si="2"/>
        <v>0</v>
      </c>
      <c r="M16" s="283">
        <f t="shared" si="2"/>
        <v>0</v>
      </c>
      <c r="N16" s="283">
        <f t="shared" si="2"/>
        <v>0</v>
      </c>
      <c r="O16" s="283">
        <f t="shared" si="2"/>
        <v>0</v>
      </c>
      <c r="P16" s="283">
        <f t="shared" si="2"/>
        <v>0</v>
      </c>
      <c r="Q16" s="283">
        <f t="shared" si="2"/>
        <v>5126652.21</v>
      </c>
      <c r="R16" s="217">
        <f t="shared" si="2"/>
        <v>258684.31000000006</v>
      </c>
      <c r="S16" s="217">
        <f t="shared" si="2"/>
        <v>1651388.88</v>
      </c>
      <c r="T16" s="217">
        <f t="shared" si="2"/>
        <v>1549197.42</v>
      </c>
      <c r="U16" s="283">
        <f t="shared" si="2"/>
        <v>1667381.5999999999</v>
      </c>
      <c r="V16" s="217">
        <f t="shared" si="2"/>
        <v>0</v>
      </c>
      <c r="W16" s="217">
        <f t="shared" si="2"/>
        <v>0</v>
      </c>
      <c r="X16" s="217">
        <f t="shared" si="2"/>
        <v>0</v>
      </c>
      <c r="Y16" s="283">
        <f t="shared" si="2"/>
        <v>0</v>
      </c>
      <c r="Z16" s="283">
        <f t="shared" si="2"/>
        <v>0</v>
      </c>
      <c r="AA16" s="283">
        <f t="shared" si="2"/>
        <v>0</v>
      </c>
      <c r="AB16" s="283">
        <f t="shared" si="2"/>
        <v>0</v>
      </c>
      <c r="AC16" s="283">
        <f t="shared" si="2"/>
        <v>0</v>
      </c>
      <c r="AD16" s="283">
        <f t="shared" si="2"/>
        <v>16944328.150000002</v>
      </c>
      <c r="AE16" s="34"/>
      <c r="AF16" s="34"/>
      <c r="AG16" s="34"/>
    </row>
    <row r="17" spans="1:34" s="35" customFormat="1" ht="22.15" customHeight="1" thickBot="1">
      <c r="A17" s="36" t="s">
        <v>13</v>
      </c>
      <c r="B17" s="36"/>
      <c r="C17" s="37"/>
      <c r="D17" s="447"/>
      <c r="E17" s="284"/>
      <c r="F17" s="284"/>
      <c r="G17" s="284"/>
      <c r="H17" s="284"/>
      <c r="I17" s="284"/>
      <c r="J17" s="284"/>
      <c r="K17" s="340"/>
      <c r="L17" s="284"/>
      <c r="M17" s="284"/>
      <c r="N17" s="284"/>
      <c r="O17" s="284"/>
      <c r="P17" s="284"/>
      <c r="Q17" s="284"/>
      <c r="R17" s="38"/>
      <c r="S17" s="38"/>
      <c r="T17" s="38"/>
      <c r="U17" s="38"/>
      <c r="V17" s="38"/>
      <c r="W17" s="38"/>
      <c r="X17" s="340"/>
      <c r="Y17" s="38"/>
      <c r="Z17" s="38"/>
      <c r="AA17" s="38"/>
      <c r="AB17" s="38"/>
      <c r="AC17" s="38"/>
      <c r="AD17" s="39"/>
    </row>
    <row r="18" spans="1:34" ht="22.9" customHeight="1">
      <c r="A18" s="624" t="s">
        <v>14</v>
      </c>
      <c r="B18" s="627">
        <v>111</v>
      </c>
      <c r="C18" s="628">
        <v>0</v>
      </c>
      <c r="D18" s="629">
        <f>330603.97+1480540+140264.03+1088372.52+804100.5+81932.65+1248090.07+909952.76+200000+599994.5+128109.67+1348332.83+101491.43+351252.96+200958.87+1082495.64-520364.78+1203670</f>
        <v>10779797.620000001</v>
      </c>
      <c r="E18" s="280">
        <f t="shared" ref="E18:Q18" si="3">SUM(E20:E21)</f>
        <v>176980.21000000002</v>
      </c>
      <c r="F18" s="281">
        <f>SUM(F20:F21)</f>
        <v>942567.58000000007</v>
      </c>
      <c r="G18" s="281">
        <f>SUM(G20:G21)</f>
        <v>927104.84</v>
      </c>
      <c r="H18" s="281">
        <f t="shared" si="3"/>
        <v>1381967.4300000002</v>
      </c>
      <c r="I18" s="281">
        <f t="shared" si="3"/>
        <v>0</v>
      </c>
      <c r="J18" s="281">
        <f t="shared" si="3"/>
        <v>0</v>
      </c>
      <c r="K18" s="281">
        <f t="shared" si="3"/>
        <v>0</v>
      </c>
      <c r="L18" s="281">
        <f t="shared" si="3"/>
        <v>0</v>
      </c>
      <c r="M18" s="281">
        <f t="shared" si="3"/>
        <v>0</v>
      </c>
      <c r="N18" s="281">
        <f t="shared" si="3"/>
        <v>0</v>
      </c>
      <c r="O18" s="281">
        <f t="shared" si="3"/>
        <v>0</v>
      </c>
      <c r="P18" s="281">
        <f t="shared" si="3"/>
        <v>0</v>
      </c>
      <c r="Q18" s="281">
        <f t="shared" si="3"/>
        <v>3016706.21</v>
      </c>
      <c r="R18" s="19">
        <f>SUM(R20:R22)</f>
        <v>176980.21000000002</v>
      </c>
      <c r="S18" s="281">
        <f>SUM(S20:S21)</f>
        <v>942567.58000000007</v>
      </c>
      <c r="T18" s="281">
        <f>SUM(T20:T21)</f>
        <v>927104.84</v>
      </c>
      <c r="U18" s="281">
        <f t="shared" ref="U18:AC18" si="4">SUM(U20:U21)</f>
        <v>970053.58000000007</v>
      </c>
      <c r="V18" s="281">
        <f t="shared" si="4"/>
        <v>0</v>
      </c>
      <c r="W18" s="281">
        <f t="shared" si="4"/>
        <v>0</v>
      </c>
      <c r="X18" s="281">
        <f t="shared" si="4"/>
        <v>0</v>
      </c>
      <c r="Y18" s="281">
        <f t="shared" si="4"/>
        <v>0</v>
      </c>
      <c r="Z18" s="281">
        <f t="shared" si="4"/>
        <v>0</v>
      </c>
      <c r="AA18" s="281">
        <f t="shared" si="4"/>
        <v>0</v>
      </c>
      <c r="AB18" s="281">
        <f t="shared" si="4"/>
        <v>0</v>
      </c>
      <c r="AC18" s="281">
        <f t="shared" si="4"/>
        <v>0</v>
      </c>
      <c r="AD18" s="281">
        <f t="shared" ref="AD18:AD29" si="5">C18+D18-Q18</f>
        <v>7763091.4100000011</v>
      </c>
      <c r="AE18" s="20"/>
      <c r="AF18" s="20"/>
      <c r="AG18" s="20"/>
    </row>
    <row r="19" spans="1:34" ht="22.9" customHeight="1">
      <c r="A19" s="596" t="s">
        <v>217</v>
      </c>
      <c r="B19" s="597"/>
      <c r="C19" s="598">
        <v>0</v>
      </c>
      <c r="D19" s="599">
        <f>D18-D20-D21</f>
        <v>0</v>
      </c>
      <c r="E19" s="280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584"/>
      <c r="R19" s="19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0"/>
      <c r="AF19" s="20"/>
      <c r="AG19" s="20"/>
    </row>
    <row r="20" spans="1:34" ht="22.5" customHeight="1">
      <c r="A20" s="21" t="s">
        <v>15</v>
      </c>
      <c r="B20" s="507"/>
      <c r="C20" s="440"/>
      <c r="D20" s="295">
        <f>2781433.15+68582.28+300000</f>
        <v>3150015.4299999997</v>
      </c>
      <c r="E20" s="441">
        <f>26490.03+3443.7</f>
        <v>29933.73</v>
      </c>
      <c r="F20" s="286">
        <f>228976.28+38815.9</f>
        <v>267792.18</v>
      </c>
      <c r="G20" s="286">
        <f>246266.31+34204.91</f>
        <v>280471.21999999997</v>
      </c>
      <c r="H20" s="286">
        <f>219124.44+34829.3+108840.04</f>
        <v>362793.77999999997</v>
      </c>
      <c r="I20" s="286"/>
      <c r="J20" s="286"/>
      <c r="K20" s="286"/>
      <c r="L20" s="286"/>
      <c r="M20" s="286"/>
      <c r="N20" s="286"/>
      <c r="O20" s="286"/>
      <c r="P20" s="286"/>
      <c r="Q20" s="295">
        <f>SUM(R20:AC20)</f>
        <v>832150.86999999988</v>
      </c>
      <c r="R20" s="286">
        <f>E20</f>
        <v>29933.73</v>
      </c>
      <c r="S20" s="286">
        <v>267792.18</v>
      </c>
      <c r="T20" s="286">
        <f>G20</f>
        <v>280471.21999999997</v>
      </c>
      <c r="U20" s="286">
        <f>219124.44+34829.3</f>
        <v>253953.74</v>
      </c>
      <c r="V20" s="286">
        <f t="shared" ref="V20:AC20" si="6">I20</f>
        <v>0</v>
      </c>
      <c r="W20" s="286">
        <f t="shared" si="6"/>
        <v>0</v>
      </c>
      <c r="X20" s="286">
        <f t="shared" si="6"/>
        <v>0</v>
      </c>
      <c r="Y20" s="286">
        <f t="shared" si="6"/>
        <v>0</v>
      </c>
      <c r="Z20" s="286">
        <f t="shared" si="6"/>
        <v>0</v>
      </c>
      <c r="AA20" s="286">
        <f t="shared" si="6"/>
        <v>0</v>
      </c>
      <c r="AB20" s="286">
        <f t="shared" si="6"/>
        <v>0</v>
      </c>
      <c r="AC20" s="286">
        <f t="shared" si="6"/>
        <v>0</v>
      </c>
      <c r="AD20" s="282">
        <f t="shared" si="5"/>
        <v>2317864.5599999996</v>
      </c>
      <c r="AE20" s="25"/>
      <c r="AF20" s="25"/>
      <c r="AG20" s="25"/>
      <c r="AH20" s="20"/>
    </row>
    <row r="21" spans="1:34" ht="23.45" customHeight="1">
      <c r="A21" s="21" t="s">
        <v>16</v>
      </c>
      <c r="B21" s="507"/>
      <c r="C21" s="440"/>
      <c r="D21" s="295">
        <f>5894169.5+235156.8+16096.16+200958.87+900095.64-520364.78+903670</f>
        <v>7629782.1899999995</v>
      </c>
      <c r="E21" s="442">
        <f>130129.63+16916.85</f>
        <v>147046.48000000001</v>
      </c>
      <c r="F21" s="285">
        <v>674775.4</v>
      </c>
      <c r="G21" s="285">
        <f>567928.62+78705</f>
        <v>646633.62</v>
      </c>
      <c r="H21" s="285">
        <f>623912.79+92187.05+303073.81</f>
        <v>1019173.6500000001</v>
      </c>
      <c r="I21" s="285"/>
      <c r="J21" s="285"/>
      <c r="K21" s="285"/>
      <c r="L21" s="285"/>
      <c r="M21" s="285"/>
      <c r="N21" s="286"/>
      <c r="O21" s="285"/>
      <c r="P21" s="285"/>
      <c r="Q21" s="295">
        <f>SUM(R21:AC21)</f>
        <v>2184555.34</v>
      </c>
      <c r="R21" s="442">
        <f>E21</f>
        <v>147046.48000000001</v>
      </c>
      <c r="S21" s="285">
        <f>F21</f>
        <v>674775.4</v>
      </c>
      <c r="T21" s="285">
        <f>G21</f>
        <v>646633.62</v>
      </c>
      <c r="U21" s="285">
        <f>623912.79+92187.05</f>
        <v>716099.84000000008</v>
      </c>
      <c r="V21" s="285"/>
      <c r="W21" s="285"/>
      <c r="X21" s="285"/>
      <c r="Y21" s="285"/>
      <c r="Z21" s="285"/>
      <c r="AA21" s="286"/>
      <c r="AB21" s="261"/>
      <c r="AC21" s="23"/>
      <c r="AD21" s="435">
        <f t="shared" si="5"/>
        <v>5445226.8499999996</v>
      </c>
      <c r="AE21" s="432"/>
      <c r="AF21" s="432"/>
      <c r="AG21" s="25"/>
      <c r="AH21" s="20"/>
    </row>
    <row r="22" spans="1:34" ht="27.75" customHeight="1">
      <c r="A22" s="21" t="s">
        <v>9</v>
      </c>
      <c r="B22" s="507"/>
      <c r="C22" s="440"/>
      <c r="D22" s="688"/>
      <c r="E22" s="441"/>
      <c r="F22" s="492">
        <v>459816</v>
      </c>
      <c r="G22" s="493">
        <v>968169</v>
      </c>
      <c r="H22" s="501">
        <v>550792</v>
      </c>
      <c r="I22" s="493"/>
      <c r="J22" s="493"/>
      <c r="K22" s="493"/>
      <c r="L22" s="493"/>
      <c r="M22" s="493"/>
      <c r="N22" s="493"/>
      <c r="O22" s="493"/>
      <c r="P22" s="493"/>
      <c r="Q22" s="494">
        <f>D22</f>
        <v>0</v>
      </c>
      <c r="R22" s="495"/>
      <c r="S22" s="492">
        <v>459816</v>
      </c>
      <c r="T22" s="286">
        <f>G22</f>
        <v>968169</v>
      </c>
      <c r="U22" s="286">
        <f>H22</f>
        <v>550792</v>
      </c>
      <c r="V22" s="286"/>
      <c r="W22" s="286"/>
      <c r="X22" s="286"/>
      <c r="Y22" s="262"/>
      <c r="Z22" s="286"/>
      <c r="AA22" s="286"/>
      <c r="AB22" s="23"/>
      <c r="AC22" s="23"/>
      <c r="AD22" s="435">
        <f t="shared" si="5"/>
        <v>0</v>
      </c>
      <c r="AE22" s="433"/>
      <c r="AF22" s="432"/>
      <c r="AG22" s="26"/>
      <c r="AH22" s="20"/>
    </row>
    <row r="23" spans="1:34" ht="32.25" customHeight="1">
      <c r="A23" s="27" t="s">
        <v>186</v>
      </c>
      <c r="B23" s="508"/>
      <c r="C23" s="144">
        <v>0</v>
      </c>
      <c r="D23" s="446">
        <f>SUM(E23:P23)</f>
        <v>0</v>
      </c>
      <c r="E23" s="443">
        <v>0</v>
      </c>
      <c r="F23" s="287">
        <v>0</v>
      </c>
      <c r="G23" s="287">
        <v>0</v>
      </c>
      <c r="H23" s="287">
        <v>0</v>
      </c>
      <c r="I23" s="287">
        <v>0</v>
      </c>
      <c r="J23" s="287">
        <v>0</v>
      </c>
      <c r="K23" s="287">
        <v>0</v>
      </c>
      <c r="L23" s="287">
        <v>0</v>
      </c>
      <c r="M23" s="287">
        <v>0</v>
      </c>
      <c r="N23" s="287">
        <v>0</v>
      </c>
      <c r="O23" s="287">
        <v>0</v>
      </c>
      <c r="P23" s="287"/>
      <c r="Q23" s="463">
        <f>D23</f>
        <v>0</v>
      </c>
      <c r="R23" s="263"/>
      <c r="S23" s="263"/>
      <c r="T23" s="263"/>
      <c r="U23" s="263"/>
      <c r="V23" s="263"/>
      <c r="W23" s="263"/>
      <c r="X23" s="24"/>
      <c r="Y23" s="263"/>
      <c r="Z23" s="288"/>
      <c r="AA23" s="288"/>
      <c r="AB23" s="282">
        <f>AB10</f>
        <v>0</v>
      </c>
      <c r="AC23" s="263"/>
      <c r="AD23" s="435">
        <f t="shared" si="5"/>
        <v>0</v>
      </c>
      <c r="AE23" s="432"/>
      <c r="AF23" s="434"/>
      <c r="AG23" s="26"/>
    </row>
    <row r="24" spans="1:34" ht="22.9" customHeight="1">
      <c r="A24" s="620" t="s">
        <v>18</v>
      </c>
      <c r="B24" s="621">
        <v>119</v>
      </c>
      <c r="C24" s="622">
        <v>0</v>
      </c>
      <c r="D24" s="623">
        <f>250660+123124.35-33900+380521.5+440000+92000+227900.54+380000+425253.61+400000+154937.99+420364.78+27248.74</f>
        <v>3288111.5100000007</v>
      </c>
      <c r="E24" s="444">
        <f t="shared" ref="E24:L24" si="7">SUM(E27:E28)</f>
        <v>0</v>
      </c>
      <c r="F24" s="288">
        <f>SUM(F27:F28)</f>
        <v>275505.59000000003</v>
      </c>
      <c r="G24" s="288">
        <f t="shared" si="7"/>
        <v>273062.44</v>
      </c>
      <c r="H24" s="288">
        <f t="shared" si="7"/>
        <v>298570.51</v>
      </c>
      <c r="I24" s="288">
        <f>SUM(I27:I28)</f>
        <v>0</v>
      </c>
      <c r="J24" s="288">
        <f>SUM(J27:J28)</f>
        <v>0</v>
      </c>
      <c r="K24" s="288">
        <f t="shared" si="7"/>
        <v>0</v>
      </c>
      <c r="L24" s="288">
        <f t="shared" si="7"/>
        <v>0</v>
      </c>
      <c r="M24" s="288">
        <f>SUM(M27:M28)</f>
        <v>0</v>
      </c>
      <c r="N24" s="288">
        <f>SUM(N27:N28)</f>
        <v>0</v>
      </c>
      <c r="O24" s="288">
        <f>SUM(O27:O28)</f>
        <v>56000</v>
      </c>
      <c r="P24" s="288">
        <f>SUM(P27:P28)</f>
        <v>0</v>
      </c>
      <c r="Q24" s="463">
        <f>D24</f>
        <v>3288111.5100000007</v>
      </c>
      <c r="R24" s="263"/>
      <c r="S24" s="288">
        <f>SUM(S27:S28)</f>
        <v>275505.59000000003</v>
      </c>
      <c r="T24" s="288">
        <f>SUM(T27:T28)</f>
        <v>273062.44</v>
      </c>
      <c r="U24" s="288">
        <f>SUM(U27:U28)</f>
        <v>298570.51</v>
      </c>
      <c r="V24" s="288">
        <f>SUM(V27:V28)</f>
        <v>0</v>
      </c>
      <c r="W24" s="288">
        <f>SUM(W27:W28)</f>
        <v>0</v>
      </c>
      <c r="X24" s="263"/>
      <c r="Y24" s="263"/>
      <c r="Z24" s="288">
        <f>SUM(Z27:Z28)</f>
        <v>0</v>
      </c>
      <c r="AA24" s="288">
        <f>SUM(AA27:AA28)</f>
        <v>0</v>
      </c>
      <c r="AB24" s="288">
        <f>SUM(AB27:AB28)</f>
        <v>0</v>
      </c>
      <c r="AC24" s="288">
        <f>SUM(AC27:AC28)</f>
        <v>0</v>
      </c>
      <c r="AD24" s="282">
        <f t="shared" si="5"/>
        <v>0</v>
      </c>
      <c r="AE24" s="25"/>
      <c r="AF24" s="25"/>
      <c r="AG24" s="25"/>
    </row>
    <row r="25" spans="1:34" ht="18.75" hidden="1">
      <c r="A25" s="44" t="s">
        <v>19</v>
      </c>
      <c r="B25" s="44"/>
      <c r="C25" s="45">
        <v>0</v>
      </c>
      <c r="D25" s="445"/>
      <c r="E25" s="289">
        <f t="shared" ref="E25:P25" si="8">E18*30.2%</f>
        <v>53448.023420000005</v>
      </c>
      <c r="F25" s="289">
        <f t="shared" si="8"/>
        <v>284655.40916000004</v>
      </c>
      <c r="G25" s="289">
        <f t="shared" si="8"/>
        <v>279985.66167999996</v>
      </c>
      <c r="H25" s="289">
        <f t="shared" si="8"/>
        <v>417354.16386000003</v>
      </c>
      <c r="I25" s="289">
        <f t="shared" si="8"/>
        <v>0</v>
      </c>
      <c r="J25" s="289">
        <f t="shared" si="8"/>
        <v>0</v>
      </c>
      <c r="K25" s="264">
        <f t="shared" si="8"/>
        <v>0</v>
      </c>
      <c r="L25" s="289">
        <f t="shared" si="8"/>
        <v>0</v>
      </c>
      <c r="M25" s="289">
        <f t="shared" si="8"/>
        <v>0</v>
      </c>
      <c r="N25" s="289">
        <f t="shared" si="8"/>
        <v>0</v>
      </c>
      <c r="O25" s="289">
        <f t="shared" si="8"/>
        <v>0</v>
      </c>
      <c r="P25" s="289">
        <f t="shared" si="8"/>
        <v>0</v>
      </c>
      <c r="Q25" s="285">
        <f>D25</f>
        <v>0</v>
      </c>
      <c r="R25" s="265"/>
      <c r="S25" s="265"/>
      <c r="T25" s="265"/>
      <c r="U25" s="265"/>
      <c r="V25" s="265"/>
      <c r="W25" s="265"/>
      <c r="X25" s="265"/>
      <c r="Y25" s="265"/>
      <c r="Z25" s="389"/>
      <c r="AA25" s="265"/>
      <c r="AB25" s="46"/>
      <c r="AC25" s="265"/>
      <c r="AD25" s="282">
        <f t="shared" si="5"/>
        <v>0</v>
      </c>
      <c r="AE25" s="26"/>
      <c r="AF25" s="26"/>
      <c r="AG25" s="26"/>
    </row>
    <row r="26" spans="1:34" s="595" customFormat="1" ht="18.75">
      <c r="A26" s="600" t="s">
        <v>217</v>
      </c>
      <c r="B26" s="600"/>
      <c r="C26" s="601"/>
      <c r="D26" s="602">
        <f>D24-D27-D28</f>
        <v>0</v>
      </c>
      <c r="E26" s="603"/>
      <c r="F26" s="603"/>
      <c r="G26" s="603"/>
      <c r="H26" s="603"/>
      <c r="I26" s="603"/>
      <c r="J26" s="603"/>
      <c r="K26" s="604"/>
      <c r="L26" s="603"/>
      <c r="M26" s="603"/>
      <c r="N26" s="603"/>
      <c r="O26" s="603"/>
      <c r="P26" s="603"/>
      <c r="Q26" s="605"/>
      <c r="R26" s="606"/>
      <c r="S26" s="606"/>
      <c r="T26" s="606"/>
      <c r="U26" s="606"/>
      <c r="V26" s="606"/>
      <c r="W26" s="606"/>
      <c r="X26" s="606"/>
      <c r="Y26" s="606"/>
      <c r="Z26" s="607"/>
      <c r="AA26" s="606"/>
      <c r="AB26" s="608"/>
      <c r="AC26" s="606"/>
      <c r="AD26" s="609"/>
    </row>
    <row r="27" spans="1:34" ht="25.9" customHeight="1">
      <c r="A27" s="21" t="s">
        <v>20</v>
      </c>
      <c r="B27" s="21"/>
      <c r="C27" s="22"/>
      <c r="D27" s="295">
        <f>795000+54000+100000+6000</f>
        <v>955000</v>
      </c>
      <c r="E27" s="289"/>
      <c r="F27" s="289">
        <v>63311.17</v>
      </c>
      <c r="G27" s="289">
        <v>79652.22</v>
      </c>
      <c r="H27" s="289">
        <f>81230.62</f>
        <v>81230.62</v>
      </c>
      <c r="I27" s="289"/>
      <c r="J27" s="289"/>
      <c r="K27" s="264"/>
      <c r="L27" s="289"/>
      <c r="M27" s="289"/>
      <c r="N27" s="289"/>
      <c r="O27" s="289"/>
      <c r="P27" s="289"/>
      <c r="Q27" s="295">
        <f>SUM(R27:AC27)</f>
        <v>224194.01</v>
      </c>
      <c r="R27" s="289">
        <f t="shared" ref="R27:T28" si="9">E27</f>
        <v>0</v>
      </c>
      <c r="S27" s="289">
        <f t="shared" si="9"/>
        <v>63311.17</v>
      </c>
      <c r="T27" s="289">
        <f t="shared" si="9"/>
        <v>79652.22</v>
      </c>
      <c r="U27" s="289">
        <v>81230.62</v>
      </c>
      <c r="V27" s="289"/>
      <c r="W27" s="289"/>
      <c r="X27" s="264"/>
      <c r="Y27" s="289"/>
      <c r="Z27" s="289"/>
      <c r="AA27" s="289"/>
      <c r="AB27" s="264"/>
      <c r="AC27" s="264"/>
      <c r="AD27" s="282">
        <f t="shared" si="5"/>
        <v>730805.99</v>
      </c>
      <c r="AE27" s="266"/>
      <c r="AF27" s="25"/>
      <c r="AG27" s="25"/>
    </row>
    <row r="28" spans="1:34" ht="26.45" customHeight="1">
      <c r="A28" s="21" t="s">
        <v>21</v>
      </c>
      <c r="B28" s="21"/>
      <c r="C28" s="22"/>
      <c r="D28" s="295">
        <f>1890560+100937.99+320364.78+21248.74</f>
        <v>2333111.5100000002</v>
      </c>
      <c r="E28" s="289"/>
      <c r="F28" s="289">
        <v>212194.42</v>
      </c>
      <c r="G28" s="289">
        <v>193410.22</v>
      </c>
      <c r="H28" s="289">
        <f>217339.89</f>
        <v>217339.89</v>
      </c>
      <c r="I28" s="289"/>
      <c r="J28" s="289"/>
      <c r="K28" s="264"/>
      <c r="L28" s="289"/>
      <c r="M28" s="289"/>
      <c r="N28" s="289"/>
      <c r="O28" s="289">
        <v>56000</v>
      </c>
      <c r="P28" s="289"/>
      <c r="Q28" s="295">
        <f>SUM(R28:AC28)</f>
        <v>622944.53</v>
      </c>
      <c r="R28" s="289">
        <f t="shared" si="9"/>
        <v>0</v>
      </c>
      <c r="S28" s="289">
        <f t="shared" si="9"/>
        <v>212194.42</v>
      </c>
      <c r="T28" s="289">
        <f t="shared" si="9"/>
        <v>193410.22</v>
      </c>
      <c r="U28" s="289">
        <v>217339.89</v>
      </c>
      <c r="V28" s="289"/>
      <c r="W28" s="289"/>
      <c r="X28" s="264"/>
      <c r="Y28" s="289"/>
      <c r="Z28" s="289"/>
      <c r="AA28" s="289"/>
      <c r="AB28" s="264"/>
      <c r="AC28" s="264"/>
      <c r="AD28" s="282">
        <f t="shared" si="5"/>
        <v>1710166.9800000002</v>
      </c>
      <c r="AE28" s="25"/>
      <c r="AF28" s="25"/>
      <c r="AG28" s="25"/>
    </row>
    <row r="29" spans="1:34" ht="27" customHeight="1" thickBot="1">
      <c r="A29" s="31" t="s">
        <v>9</v>
      </c>
      <c r="B29" s="31"/>
      <c r="C29" s="32"/>
      <c r="D29" s="290">
        <f>D22*30.2%</f>
        <v>0</v>
      </c>
      <c r="E29" s="290">
        <f t="shared" ref="E29:U29" si="10">E22*30.2%</f>
        <v>0</v>
      </c>
      <c r="F29" s="290">
        <f t="shared" si="10"/>
        <v>138864.432</v>
      </c>
      <c r="G29" s="290">
        <f t="shared" si="10"/>
        <v>292387.038</v>
      </c>
      <c r="H29" s="290">
        <f t="shared" si="10"/>
        <v>166339.18400000001</v>
      </c>
      <c r="I29" s="290">
        <f t="shared" si="10"/>
        <v>0</v>
      </c>
      <c r="J29" s="290">
        <f t="shared" si="10"/>
        <v>0</v>
      </c>
      <c r="K29" s="290">
        <f t="shared" si="10"/>
        <v>0</v>
      </c>
      <c r="L29" s="290">
        <f t="shared" si="10"/>
        <v>0</v>
      </c>
      <c r="M29" s="290">
        <f t="shared" si="10"/>
        <v>0</v>
      </c>
      <c r="N29" s="290">
        <f t="shared" si="10"/>
        <v>0</v>
      </c>
      <c r="O29" s="290">
        <f t="shared" si="10"/>
        <v>0</v>
      </c>
      <c r="P29" s="290">
        <f t="shared" si="10"/>
        <v>0</v>
      </c>
      <c r="Q29" s="290">
        <f>Q22*30.2%</f>
        <v>0</v>
      </c>
      <c r="R29" s="267">
        <f t="shared" si="10"/>
        <v>0</v>
      </c>
      <c r="S29" s="267">
        <f t="shared" si="10"/>
        <v>138864.432</v>
      </c>
      <c r="T29" s="290">
        <f>T22*30.2%</f>
        <v>292387.038</v>
      </c>
      <c r="U29" s="290">
        <f t="shared" si="10"/>
        <v>166339.18400000001</v>
      </c>
      <c r="V29" s="290">
        <f>V22*30.2%</f>
        <v>0</v>
      </c>
      <c r="W29" s="290">
        <f>W22*30.2%</f>
        <v>0</v>
      </c>
      <c r="X29" s="267">
        <f t="shared" ref="X29:AC29" si="11">X22*30.2%</f>
        <v>0</v>
      </c>
      <c r="Y29" s="267">
        <f t="shared" si="11"/>
        <v>0</v>
      </c>
      <c r="Z29" s="290">
        <f t="shared" si="11"/>
        <v>0</v>
      </c>
      <c r="AA29" s="290">
        <f t="shared" si="11"/>
        <v>0</v>
      </c>
      <c r="AB29" s="267">
        <f t="shared" si="11"/>
        <v>0</v>
      </c>
      <c r="AC29" s="267">
        <f t="shared" si="11"/>
        <v>0</v>
      </c>
      <c r="AD29" s="282">
        <f t="shared" si="5"/>
        <v>0</v>
      </c>
    </row>
    <row r="30" spans="1:34" ht="21.6" customHeight="1" thickBot="1">
      <c r="A30" s="36" t="s">
        <v>22</v>
      </c>
      <c r="B30" s="36"/>
      <c r="C30" s="37"/>
      <c r="D30" s="58"/>
      <c r="E30" s="58"/>
      <c r="F30" s="58"/>
      <c r="G30" s="58"/>
      <c r="H30" s="58"/>
      <c r="I30" s="58"/>
      <c r="J30" s="58"/>
      <c r="K30" s="342"/>
      <c r="L30" s="58"/>
      <c r="M30" s="58"/>
      <c r="N30" s="58"/>
      <c r="O30" s="58"/>
      <c r="P30" s="58"/>
      <c r="Q30" s="58"/>
      <c r="R30" s="136"/>
      <c r="S30" s="136"/>
      <c r="T30" s="136"/>
      <c r="U30" s="136"/>
      <c r="V30" s="136"/>
      <c r="W30" s="136"/>
      <c r="X30" s="367"/>
      <c r="Y30" s="136"/>
      <c r="Z30" s="136"/>
      <c r="AA30" s="136"/>
      <c r="AB30" s="136"/>
      <c r="AC30" s="136"/>
      <c r="AD30" s="47"/>
    </row>
    <row r="31" spans="1:34" ht="21" customHeight="1">
      <c r="A31" s="624" t="s">
        <v>177</v>
      </c>
      <c r="B31" s="624">
        <v>111</v>
      </c>
      <c r="C31" s="625">
        <v>0</v>
      </c>
      <c r="D31" s="626">
        <f>120000+506092+518000+491230.1+616922+500000+639840.2+300000+1035452.7+557852.32+670000.68+328519.23</f>
        <v>6283909.2300000004</v>
      </c>
      <c r="E31" s="281">
        <f>SUM(E33:E34)</f>
        <v>80000.379999999976</v>
      </c>
      <c r="F31" s="281">
        <f>SUM(F33:F34)</f>
        <v>378172.3899999999</v>
      </c>
      <c r="G31" s="281">
        <f>SUM(G33:G34)</f>
        <v>225137.30999999994</v>
      </c>
      <c r="H31" s="281">
        <f>SUM(H33:H34)</f>
        <v>693500.87999999989</v>
      </c>
      <c r="I31" s="281">
        <f>SUM(I33:I34)</f>
        <v>0</v>
      </c>
      <c r="J31" s="281">
        <f t="shared" ref="J31:P31" si="12">SUM(J33:J34)</f>
        <v>0</v>
      </c>
      <c r="K31" s="281">
        <f t="shared" si="12"/>
        <v>0</v>
      </c>
      <c r="L31" s="281">
        <f t="shared" si="12"/>
        <v>0</v>
      </c>
      <c r="M31" s="281">
        <f>SUM(M33:M34)</f>
        <v>0</v>
      </c>
      <c r="N31" s="281">
        <f t="shared" si="12"/>
        <v>0</v>
      </c>
      <c r="O31" s="281">
        <f t="shared" si="12"/>
        <v>0</v>
      </c>
      <c r="P31" s="281">
        <f t="shared" si="12"/>
        <v>0</v>
      </c>
      <c r="Q31" s="281">
        <f t="shared" ref="Q31:Z31" si="13">Q7-Q18</f>
        <v>975537.96</v>
      </c>
      <c r="R31" s="281">
        <f t="shared" si="13"/>
        <v>79999.870000000024</v>
      </c>
      <c r="S31" s="281">
        <f t="shared" si="13"/>
        <v>339357</v>
      </c>
      <c r="T31" s="281">
        <f t="shared" si="13"/>
        <v>256953.06999999995</v>
      </c>
      <c r="U31" s="281">
        <f t="shared" si="13"/>
        <v>299228.01999999979</v>
      </c>
      <c r="V31" s="281">
        <f t="shared" si="13"/>
        <v>0</v>
      </c>
      <c r="W31" s="281">
        <f t="shared" si="13"/>
        <v>0</v>
      </c>
      <c r="X31" s="281">
        <f t="shared" si="13"/>
        <v>0</v>
      </c>
      <c r="Y31" s="281">
        <f t="shared" si="13"/>
        <v>0</v>
      </c>
      <c r="Z31" s="281">
        <f t="shared" si="13"/>
        <v>0</v>
      </c>
      <c r="AA31" s="19"/>
      <c r="AB31" s="19"/>
      <c r="AC31" s="19"/>
      <c r="AD31" s="281">
        <f>C31+D31-Q31</f>
        <v>5308371.2700000005</v>
      </c>
      <c r="AE31" s="20"/>
      <c r="AG31" s="20"/>
    </row>
    <row r="32" spans="1:34" s="595" customFormat="1" ht="21" customHeight="1">
      <c r="A32" s="596" t="s">
        <v>217</v>
      </c>
      <c r="B32" s="596"/>
      <c r="C32" s="610"/>
      <c r="D32" s="592">
        <f>D31-D33-D34</f>
        <v>0</v>
      </c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  <c r="Q32" s="592"/>
      <c r="R32" s="611"/>
      <c r="S32" s="611"/>
      <c r="T32" s="611"/>
      <c r="U32" s="611"/>
      <c r="V32" s="611"/>
      <c r="W32" s="612"/>
      <c r="X32" s="612"/>
      <c r="Y32" s="612"/>
      <c r="Z32" s="611"/>
      <c r="AA32" s="613"/>
      <c r="AB32" s="613"/>
      <c r="AC32" s="613"/>
      <c r="AD32" s="612"/>
      <c r="AE32" s="593"/>
      <c r="AG32" s="593"/>
    </row>
    <row r="33" spans="1:33" ht="21" customHeight="1">
      <c r="A33" s="411" t="s">
        <v>237</v>
      </c>
      <c r="B33" s="411"/>
      <c r="C33" s="41"/>
      <c r="D33" s="295">
        <f>2057885.85+330000+300000+130000</f>
        <v>2817885.85</v>
      </c>
      <c r="E33" s="409">
        <f>31124+4046.12</f>
        <v>35170.120000000003</v>
      </c>
      <c r="F33" s="409">
        <v>142883.13</v>
      </c>
      <c r="G33" s="409">
        <f>118890.07+13358</f>
        <v>132248.07</v>
      </c>
      <c r="H33" s="409">
        <f>16567.86+165872.67+89674.06</f>
        <v>272114.59000000003</v>
      </c>
      <c r="I33" s="409"/>
      <c r="J33" s="409"/>
      <c r="K33" s="409"/>
      <c r="L33" s="409"/>
      <c r="M33" s="409"/>
      <c r="N33" s="409"/>
      <c r="O33" s="409"/>
      <c r="P33" s="409"/>
      <c r="Q33" s="295">
        <f>SUM(R33:AC33)</f>
        <v>492741.85000000003</v>
      </c>
      <c r="R33" s="409">
        <f>E33</f>
        <v>35170.120000000003</v>
      </c>
      <c r="S33" s="409">
        <v>142883.13</v>
      </c>
      <c r="T33" s="409">
        <f>118890.07+13358</f>
        <v>132248.07</v>
      </c>
      <c r="U33" s="409">
        <f>16567.86+165872.67</f>
        <v>182440.53000000003</v>
      </c>
      <c r="V33" s="409"/>
      <c r="W33" s="19"/>
      <c r="X33" s="281"/>
      <c r="Y33" s="19"/>
      <c r="Z33" s="409"/>
      <c r="AA33" s="19"/>
      <c r="AB33" s="19"/>
      <c r="AC33" s="19"/>
      <c r="AD33" s="412">
        <f>D33-Q33</f>
        <v>2325144</v>
      </c>
      <c r="AE33" s="20"/>
      <c r="AG33" s="20"/>
    </row>
    <row r="34" spans="1:33" ht="23.45" customHeight="1">
      <c r="A34" s="411" t="s">
        <v>176</v>
      </c>
      <c r="B34" s="411"/>
      <c r="C34" s="41"/>
      <c r="D34" s="295">
        <f>2669651.15+227852.32+370000.68+70000+128519.23</f>
        <v>3466023.38</v>
      </c>
      <c r="E34" s="410">
        <f t="shared" ref="E34:P34" si="14">E7-E18-E33</f>
        <v>44830.259999999973</v>
      </c>
      <c r="F34" s="410">
        <f t="shared" si="14"/>
        <v>235289.25999999989</v>
      </c>
      <c r="G34" s="410">
        <f t="shared" si="14"/>
        <v>92889.239999999932</v>
      </c>
      <c r="H34" s="410">
        <f t="shared" si="14"/>
        <v>421386.28999999986</v>
      </c>
      <c r="I34" s="410">
        <f t="shared" si="14"/>
        <v>0</v>
      </c>
      <c r="J34" s="410">
        <f t="shared" si="14"/>
        <v>0</v>
      </c>
      <c r="K34" s="410">
        <f t="shared" si="14"/>
        <v>0</v>
      </c>
      <c r="L34" s="410">
        <f t="shared" si="14"/>
        <v>0</v>
      </c>
      <c r="M34" s="410">
        <f t="shared" si="14"/>
        <v>0</v>
      </c>
      <c r="N34" s="410">
        <f t="shared" si="14"/>
        <v>0</v>
      </c>
      <c r="O34" s="410">
        <f t="shared" si="14"/>
        <v>0</v>
      </c>
      <c r="P34" s="410">
        <f t="shared" si="14"/>
        <v>0</v>
      </c>
      <c r="Q34" s="439">
        <f>Q31-Q33</f>
        <v>482796.10999999993</v>
      </c>
      <c r="R34" s="410">
        <f>E34</f>
        <v>44830.259999999973</v>
      </c>
      <c r="S34" s="410">
        <f>S7-S18-S33</f>
        <v>196473.87</v>
      </c>
      <c r="T34" s="410">
        <f>T7-T18-T33</f>
        <v>124704.99999999994</v>
      </c>
      <c r="U34" s="410">
        <f>U7-U18-U33</f>
        <v>116787.48999999976</v>
      </c>
      <c r="V34" s="19"/>
      <c r="W34" s="19"/>
      <c r="X34" s="281"/>
      <c r="Y34" s="19"/>
      <c r="Z34" s="410"/>
      <c r="AA34" s="19"/>
      <c r="AB34" s="19"/>
      <c r="AC34" s="19"/>
      <c r="AD34" s="412">
        <f>D34-Q34</f>
        <v>2983227.27</v>
      </c>
      <c r="AE34" s="20"/>
      <c r="AF34" s="20"/>
    </row>
    <row r="35" spans="1:33" ht="21" hidden="1" customHeight="1">
      <c r="A35" s="42" t="s">
        <v>188</v>
      </c>
      <c r="B35" s="42"/>
      <c r="C35" s="43">
        <v>0</v>
      </c>
      <c r="D35" s="279">
        <f>SUM(E35:P35)</f>
        <v>0</v>
      </c>
      <c r="E35" s="291"/>
      <c r="F35" s="291"/>
      <c r="G35" s="291"/>
      <c r="H35" s="291"/>
      <c r="I35" s="291"/>
      <c r="J35" s="291"/>
      <c r="K35" s="343"/>
      <c r="L35" s="291"/>
      <c r="M35" s="291"/>
      <c r="N35" s="291"/>
      <c r="O35" s="291"/>
      <c r="P35" s="291"/>
      <c r="Q35" s="279">
        <f>SUM(R35:AC35)</f>
        <v>0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82">
        <f t="shared" ref="AD35:AD47" si="15">C35+D35-Q35</f>
        <v>0</v>
      </c>
      <c r="AE35" s="20"/>
    </row>
    <row r="36" spans="1:33" ht="22.5" customHeight="1">
      <c r="A36" s="620" t="s">
        <v>25</v>
      </c>
      <c r="B36" s="621">
        <v>119</v>
      </c>
      <c r="C36" s="622">
        <v>0</v>
      </c>
      <c r="D36" s="623">
        <f>326400+156037.16+210500+166724.12+190341.86+378788.57+199999.29+20000</f>
        <v>1648791.0000000002</v>
      </c>
      <c r="E36" s="279">
        <f>E13-E24</f>
        <v>0</v>
      </c>
      <c r="F36" s="279">
        <f>F13-F24</f>
        <v>85389.809999999939</v>
      </c>
      <c r="G36" s="279">
        <f>G13-G24</f>
        <v>83788.81</v>
      </c>
      <c r="H36" s="279">
        <f>H13-H24</f>
        <v>99229.489999999991</v>
      </c>
      <c r="I36" s="279">
        <f t="shared" ref="I36:O36" si="16">I13-I24</f>
        <v>0</v>
      </c>
      <c r="J36" s="279">
        <f t="shared" si="16"/>
        <v>0</v>
      </c>
      <c r="K36" s="279">
        <f>K13-K24</f>
        <v>0</v>
      </c>
      <c r="L36" s="279">
        <f t="shared" si="16"/>
        <v>0</v>
      </c>
      <c r="M36" s="279">
        <f>M13-M24</f>
        <v>0</v>
      </c>
      <c r="N36" s="279">
        <f t="shared" si="16"/>
        <v>0</v>
      </c>
      <c r="O36" s="279">
        <f t="shared" si="16"/>
        <v>-56000</v>
      </c>
      <c r="P36" s="279"/>
      <c r="Q36" s="279">
        <f>Q13-Q24</f>
        <v>-2172564.8600000008</v>
      </c>
      <c r="R36" s="279">
        <f t="shared" ref="R36:AA36" si="17">R13-R24</f>
        <v>0</v>
      </c>
      <c r="S36" s="279"/>
      <c r="T36" s="279">
        <f>T13-T24</f>
        <v>83788.81</v>
      </c>
      <c r="U36" s="279">
        <f>U13-U24</f>
        <v>99229.489999999991</v>
      </c>
      <c r="V36" s="279">
        <f t="shared" si="17"/>
        <v>0</v>
      </c>
      <c r="W36" s="279">
        <f t="shared" si="17"/>
        <v>0</v>
      </c>
      <c r="X36" s="279">
        <f t="shared" si="17"/>
        <v>0</v>
      </c>
      <c r="Y36" s="279">
        <f t="shared" si="17"/>
        <v>0</v>
      </c>
      <c r="Z36" s="279">
        <f t="shared" si="17"/>
        <v>0</v>
      </c>
      <c r="AA36" s="279">
        <f t="shared" si="17"/>
        <v>0</v>
      </c>
      <c r="AB36" s="279">
        <f>AB13-AB24</f>
        <v>0</v>
      </c>
      <c r="AC36" s="24"/>
      <c r="AD36" s="282">
        <f t="shared" si="15"/>
        <v>3821355.8600000013</v>
      </c>
      <c r="AE36" s="20"/>
      <c r="AG36" s="20"/>
    </row>
    <row r="37" spans="1:33" s="595" customFormat="1" ht="22.5" customHeight="1">
      <c r="A37" s="596" t="s">
        <v>217</v>
      </c>
      <c r="B37" s="597"/>
      <c r="C37" s="598"/>
      <c r="D37" s="614">
        <f>D36-D38-D39</f>
        <v>0</v>
      </c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592"/>
      <c r="S37" s="592"/>
      <c r="T37" s="592"/>
      <c r="U37" s="592"/>
      <c r="V37" s="592"/>
      <c r="W37" s="592"/>
      <c r="X37" s="592"/>
      <c r="Y37" s="592"/>
      <c r="Z37" s="592"/>
      <c r="AA37" s="592"/>
      <c r="AB37" s="592"/>
      <c r="AC37" s="613"/>
      <c r="AD37" s="609"/>
      <c r="AE37" s="593"/>
      <c r="AG37" s="593"/>
    </row>
    <row r="38" spans="1:33" ht="24" customHeight="1">
      <c r="A38" s="411" t="s">
        <v>175</v>
      </c>
      <c r="B38" s="411"/>
      <c r="C38" s="41"/>
      <c r="D38" s="295">
        <f>150400+56037.16+110000+66724.12+110000+178788.57+50000+10000</f>
        <v>731949.85000000009</v>
      </c>
      <c r="E38" s="409"/>
      <c r="F38" s="409">
        <v>35486.67</v>
      </c>
      <c r="G38" s="409">
        <f>G33*30.2%</f>
        <v>39938.917139999998</v>
      </c>
      <c r="H38" s="409">
        <v>45873.33</v>
      </c>
      <c r="I38" s="409">
        <f t="shared" ref="I38:P38" si="18">I33*30.2%</f>
        <v>0</v>
      </c>
      <c r="J38" s="409">
        <f t="shared" si="18"/>
        <v>0</v>
      </c>
      <c r="K38" s="409">
        <f t="shared" si="18"/>
        <v>0</v>
      </c>
      <c r="L38" s="409">
        <f t="shared" si="18"/>
        <v>0</v>
      </c>
      <c r="M38" s="409">
        <f>M33*30.2%</f>
        <v>0</v>
      </c>
      <c r="N38" s="409">
        <f t="shared" si="18"/>
        <v>0</v>
      </c>
      <c r="O38" s="409">
        <f>O33*30.2%</f>
        <v>0</v>
      </c>
      <c r="P38" s="409">
        <f t="shared" si="18"/>
        <v>0</v>
      </c>
      <c r="Q38" s="409">
        <f>D38</f>
        <v>731949.85000000009</v>
      </c>
      <c r="R38" s="19"/>
      <c r="S38" s="281"/>
      <c r="T38" s="281"/>
      <c r="U38" s="19"/>
      <c r="V38" s="19"/>
      <c r="W38" s="19"/>
      <c r="X38" s="19"/>
      <c r="Y38" s="19"/>
      <c r="Z38" s="19"/>
      <c r="AA38" s="19"/>
      <c r="AB38" s="19"/>
      <c r="AC38" s="19"/>
      <c r="AD38" s="278">
        <f t="shared" si="15"/>
        <v>0</v>
      </c>
      <c r="AE38" s="20"/>
      <c r="AG38" s="20"/>
    </row>
    <row r="39" spans="1:33" ht="23.45" customHeight="1">
      <c r="A39" s="411" t="s">
        <v>176</v>
      </c>
      <c r="B39" s="411"/>
      <c r="C39" s="41"/>
      <c r="D39" s="295">
        <f>276000+100500+100000+80341.15+200000+150000+10000</f>
        <v>916841.15</v>
      </c>
      <c r="E39" s="409">
        <f t="shared" ref="E39:M39" si="19">E36-E38</f>
        <v>0</v>
      </c>
      <c r="F39" s="409">
        <f>F36-F38</f>
        <v>49903.139999999941</v>
      </c>
      <c r="G39" s="409">
        <f t="shared" si="19"/>
        <v>43849.89286</v>
      </c>
      <c r="H39" s="409">
        <f t="shared" si="19"/>
        <v>53356.159999999989</v>
      </c>
      <c r="I39" s="409">
        <f t="shared" si="19"/>
        <v>0</v>
      </c>
      <c r="J39" s="409">
        <f t="shared" si="19"/>
        <v>0</v>
      </c>
      <c r="K39" s="409">
        <f t="shared" si="19"/>
        <v>0</v>
      </c>
      <c r="L39" s="409">
        <f t="shared" si="19"/>
        <v>0</v>
      </c>
      <c r="M39" s="409">
        <f t="shared" si="19"/>
        <v>0</v>
      </c>
      <c r="N39" s="409">
        <f>N34*30.2%</f>
        <v>0</v>
      </c>
      <c r="O39" s="409">
        <f>O34*30.2%</f>
        <v>0</v>
      </c>
      <c r="P39" s="409">
        <f>P34*30.2%</f>
        <v>0</v>
      </c>
      <c r="Q39" s="409">
        <f>D39</f>
        <v>916841.15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78">
        <f t="shared" si="15"/>
        <v>0</v>
      </c>
      <c r="AE39" s="20"/>
    </row>
    <row r="40" spans="1:33" ht="18.75" hidden="1">
      <c r="A40" s="44" t="s">
        <v>19</v>
      </c>
      <c r="B40" s="509"/>
      <c r="C40" s="268">
        <v>0</v>
      </c>
      <c r="D40" s="292"/>
      <c r="E40" s="292"/>
      <c r="F40" s="292"/>
      <c r="G40" s="292"/>
      <c r="H40" s="292"/>
      <c r="I40" s="292"/>
      <c r="J40" s="292"/>
      <c r="K40" s="345"/>
      <c r="L40" s="292"/>
      <c r="M40" s="292"/>
      <c r="N40" s="292"/>
      <c r="O40" s="292"/>
      <c r="P40" s="292"/>
      <c r="Q40" s="292"/>
      <c r="R40" s="269"/>
      <c r="S40" s="46"/>
      <c r="T40" s="46"/>
      <c r="U40" s="46"/>
      <c r="V40" s="46"/>
      <c r="W40" s="46"/>
      <c r="X40" s="46"/>
      <c r="Y40" s="46"/>
      <c r="Z40" s="299"/>
      <c r="AA40" s="46"/>
      <c r="AB40" s="46"/>
      <c r="AC40" s="46"/>
      <c r="AD40" s="282">
        <f t="shared" si="15"/>
        <v>0</v>
      </c>
    </row>
    <row r="41" spans="1:33" ht="23.25" customHeight="1">
      <c r="A41" s="562" t="s">
        <v>26</v>
      </c>
      <c r="B41" s="652">
        <v>244</v>
      </c>
      <c r="C41" s="637">
        <v>0</v>
      </c>
      <c r="D41" s="623">
        <f>12254.6+9295.76+12270.29+12397.25+12250.64+8566.45+12230.76+12245.8+19331.12</f>
        <v>110842.67</v>
      </c>
      <c r="E41" s="279"/>
      <c r="F41" s="279">
        <f>1537.32+20</f>
        <v>1557.32</v>
      </c>
      <c r="G41" s="279">
        <v>1714.75</v>
      </c>
      <c r="H41" s="279">
        <f>1370.18+354</f>
        <v>1724.18</v>
      </c>
      <c r="I41" s="279"/>
      <c r="J41" s="295"/>
      <c r="K41" s="279"/>
      <c r="L41" s="279"/>
      <c r="M41" s="282"/>
      <c r="N41" s="279"/>
      <c r="O41" s="295"/>
      <c r="P41" s="279"/>
      <c r="Q41" s="279">
        <f>SUM(R41:AC41)</f>
        <v>4996.25</v>
      </c>
      <c r="R41" s="145"/>
      <c r="S41" s="282">
        <f>354+1203.32</f>
        <v>1557.32</v>
      </c>
      <c r="T41" s="24">
        <f>1360.75+354</f>
        <v>1714.75</v>
      </c>
      <c r="U41" s="24">
        <f>354+1370.18</f>
        <v>1724.18</v>
      </c>
      <c r="V41" s="282"/>
      <c r="W41" s="24"/>
      <c r="X41" s="282"/>
      <c r="Y41" s="24"/>
      <c r="Z41" s="282"/>
      <c r="AA41" s="282"/>
      <c r="AB41" s="278"/>
      <c r="AC41" s="282"/>
      <c r="AD41" s="282">
        <f t="shared" si="15"/>
        <v>105846.42</v>
      </c>
    </row>
    <row r="42" spans="1:33" ht="20.25" customHeight="1">
      <c r="A42" s="48" t="s">
        <v>27</v>
      </c>
      <c r="B42" s="510">
        <v>244</v>
      </c>
      <c r="C42" s="143">
        <v>0</v>
      </c>
      <c r="D42" s="293">
        <v>0</v>
      </c>
      <c r="E42" s="280"/>
      <c r="F42" s="281"/>
      <c r="G42" s="281"/>
      <c r="H42" s="281"/>
      <c r="I42" s="281"/>
      <c r="J42" s="281"/>
      <c r="K42" s="19"/>
      <c r="L42" s="281"/>
      <c r="M42" s="281"/>
      <c r="N42" s="281"/>
      <c r="O42" s="281"/>
      <c r="P42" s="281"/>
      <c r="Q42" s="293"/>
      <c r="R42" s="24"/>
      <c r="S42" s="24"/>
      <c r="T42" s="24"/>
      <c r="U42" s="24"/>
      <c r="V42" s="24"/>
      <c r="W42" s="24"/>
      <c r="X42" s="24"/>
      <c r="Y42" s="24"/>
      <c r="Z42" s="282"/>
      <c r="AA42" s="24"/>
      <c r="AB42" s="24"/>
      <c r="AC42" s="24"/>
      <c r="AD42" s="282">
        <f t="shared" si="15"/>
        <v>0</v>
      </c>
    </row>
    <row r="43" spans="1:33" ht="28.5" customHeight="1">
      <c r="A43" s="635" t="s">
        <v>28</v>
      </c>
      <c r="B43" s="636">
        <v>244</v>
      </c>
      <c r="C43" s="637">
        <v>0</v>
      </c>
      <c r="D43" s="623">
        <f>D45+D46</f>
        <v>104000</v>
      </c>
      <c r="E43" s="282">
        <f>SUM(E45:E46)</f>
        <v>0</v>
      </c>
      <c r="F43" s="282">
        <f>SUM(F45:F46)</f>
        <v>0</v>
      </c>
      <c r="G43" s="282">
        <f>SUM(G45:G46)</f>
        <v>1200</v>
      </c>
      <c r="H43" s="282">
        <f>SUM(H45:H46)</f>
        <v>15910</v>
      </c>
      <c r="I43" s="282">
        <f t="shared" ref="I43:P43" si="20">SUM(I46)</f>
        <v>0</v>
      </c>
      <c r="J43" s="282">
        <f t="shared" si="20"/>
        <v>0</v>
      </c>
      <c r="K43" s="282">
        <f t="shared" si="20"/>
        <v>0</v>
      </c>
      <c r="L43" s="282">
        <f t="shared" si="20"/>
        <v>0</v>
      </c>
      <c r="M43" s="282">
        <f t="shared" si="20"/>
        <v>0</v>
      </c>
      <c r="N43" s="282">
        <f t="shared" si="20"/>
        <v>0</v>
      </c>
      <c r="O43" s="282">
        <f t="shared" si="20"/>
        <v>0</v>
      </c>
      <c r="P43" s="282">
        <f t="shared" si="20"/>
        <v>0</v>
      </c>
      <c r="Q43" s="279">
        <f>SUM(R43:AC43)</f>
        <v>17110</v>
      </c>
      <c r="R43" s="24"/>
      <c r="S43" s="24"/>
      <c r="T43" s="24">
        <f>SUM(T45:T46)</f>
        <v>1200</v>
      </c>
      <c r="U43" s="24">
        <f>SUM(U45:U46)</f>
        <v>15910</v>
      </c>
      <c r="V43" s="282">
        <f t="shared" ref="V43:AA43" si="21">SUM(V46)</f>
        <v>0</v>
      </c>
      <c r="W43" s="282">
        <f t="shared" si="21"/>
        <v>0</v>
      </c>
      <c r="X43" s="282">
        <f t="shared" si="21"/>
        <v>0</v>
      </c>
      <c r="Y43" s="282">
        <f t="shared" si="21"/>
        <v>0</v>
      </c>
      <c r="Z43" s="282">
        <f t="shared" si="21"/>
        <v>0</v>
      </c>
      <c r="AA43" s="24">
        <f t="shared" si="21"/>
        <v>0</v>
      </c>
      <c r="AB43" s="282">
        <f>SUM(AB46)</f>
        <v>0</v>
      </c>
      <c r="AC43" s="282">
        <f>SUM(AC46)</f>
        <v>0</v>
      </c>
      <c r="AD43" s="282">
        <f t="shared" si="15"/>
        <v>86890</v>
      </c>
      <c r="AE43" s="20"/>
      <c r="AF43" s="20"/>
    </row>
    <row r="44" spans="1:33" s="595" customFormat="1" ht="28.5" customHeight="1">
      <c r="A44" s="630" t="s">
        <v>217</v>
      </c>
      <c r="B44" s="631"/>
      <c r="C44" s="632">
        <v>0</v>
      </c>
      <c r="D44" s="614">
        <f>D43-D45-D46</f>
        <v>0</v>
      </c>
      <c r="E44" s="633"/>
      <c r="F44" s="609"/>
      <c r="G44" s="609"/>
      <c r="H44" s="609"/>
      <c r="I44" s="609"/>
      <c r="J44" s="609"/>
      <c r="K44" s="609"/>
      <c r="L44" s="609"/>
      <c r="M44" s="609"/>
      <c r="N44" s="609"/>
      <c r="O44" s="609"/>
      <c r="P44" s="609"/>
      <c r="Q44" s="614"/>
      <c r="R44" s="634"/>
      <c r="S44" s="634"/>
      <c r="T44" s="634"/>
      <c r="U44" s="634"/>
      <c r="V44" s="609"/>
      <c r="W44" s="609"/>
      <c r="X44" s="609"/>
      <c r="Y44" s="609"/>
      <c r="Z44" s="609"/>
      <c r="AA44" s="634"/>
      <c r="AB44" s="609"/>
      <c r="AC44" s="609"/>
      <c r="AD44" s="609"/>
      <c r="AE44" s="593"/>
      <c r="AF44" s="593"/>
    </row>
    <row r="45" spans="1:33" s="2" customFormat="1" ht="26.45" customHeight="1">
      <c r="A45" s="50" t="s">
        <v>29</v>
      </c>
      <c r="B45" s="511"/>
      <c r="C45" s="144">
        <v>0</v>
      </c>
      <c r="D45" s="295">
        <v>32000</v>
      </c>
      <c r="E45" s="296"/>
      <c r="F45" s="278"/>
      <c r="G45" s="278">
        <v>1200</v>
      </c>
      <c r="H45" s="278"/>
      <c r="I45" s="278"/>
      <c r="J45" s="278"/>
      <c r="K45" s="23"/>
      <c r="L45" s="278"/>
      <c r="M45" s="278"/>
      <c r="N45" s="278"/>
      <c r="O45" s="278"/>
      <c r="P45" s="278"/>
      <c r="Q45" s="295">
        <f>SUM(R45:AC45)</f>
        <v>1200</v>
      </c>
      <c r="R45" s="23"/>
      <c r="S45" s="23"/>
      <c r="T45" s="278">
        <f>960+240</f>
        <v>1200</v>
      </c>
      <c r="U45" s="23"/>
      <c r="V45" s="278"/>
      <c r="W45" s="278"/>
      <c r="X45" s="278"/>
      <c r="Y45" s="278"/>
      <c r="Z45" s="278"/>
      <c r="AA45" s="23"/>
      <c r="AB45" s="23"/>
      <c r="AC45" s="278"/>
      <c r="AD45" s="282">
        <f>C45+D45-Q45</f>
        <v>30800</v>
      </c>
      <c r="AE45" s="51"/>
      <c r="AF45" s="51"/>
    </row>
    <row r="46" spans="1:33" s="2" customFormat="1" ht="26.45" customHeight="1">
      <c r="A46" s="638" t="s">
        <v>43</v>
      </c>
      <c r="B46" s="639"/>
      <c r="C46" s="640">
        <v>0</v>
      </c>
      <c r="D46" s="641">
        <f>36000+36000</f>
        <v>72000</v>
      </c>
      <c r="E46" s="296"/>
      <c r="F46" s="278"/>
      <c r="G46" s="278"/>
      <c r="H46" s="278">
        <v>15910</v>
      </c>
      <c r="I46" s="278"/>
      <c r="J46" s="278"/>
      <c r="K46" s="23"/>
      <c r="L46" s="278"/>
      <c r="M46" s="278"/>
      <c r="N46" s="278"/>
      <c r="O46" s="278"/>
      <c r="P46" s="278"/>
      <c r="Q46" s="295">
        <f>SUM(R46:AC46)</f>
        <v>15910</v>
      </c>
      <c r="R46" s="23"/>
      <c r="S46" s="23"/>
      <c r="T46" s="278"/>
      <c r="U46" s="23">
        <v>15910</v>
      </c>
      <c r="V46" s="278"/>
      <c r="W46" s="278"/>
      <c r="X46" s="278"/>
      <c r="Y46" s="278"/>
      <c r="Z46" s="278"/>
      <c r="AA46" s="23"/>
      <c r="AB46" s="23"/>
      <c r="AC46" s="278"/>
      <c r="AD46" s="282">
        <f>C46+D46-Q46</f>
        <v>56090</v>
      </c>
      <c r="AE46" s="51"/>
      <c r="AF46" s="51"/>
    </row>
    <row r="47" spans="1:33" ht="30" customHeight="1">
      <c r="A47" s="644" t="s">
        <v>30</v>
      </c>
      <c r="B47" s="644">
        <v>244</v>
      </c>
      <c r="C47" s="645">
        <v>0</v>
      </c>
      <c r="D47" s="623">
        <f>3381+7681+3381+3381+3381+3381+47297+3381+18381</f>
        <v>93645</v>
      </c>
      <c r="E47" s="294">
        <f>SUM(E52)</f>
        <v>0</v>
      </c>
      <c r="F47" s="282">
        <f t="shared" ref="F47:P47" si="22">SUM(F50:F52)</f>
        <v>1354</v>
      </c>
      <c r="G47" s="282">
        <f>SUM(G50:G52)</f>
        <v>54543</v>
      </c>
      <c r="H47" s="282">
        <f t="shared" si="22"/>
        <v>1354</v>
      </c>
      <c r="I47" s="282">
        <f t="shared" si="22"/>
        <v>0</v>
      </c>
      <c r="J47" s="282">
        <f t="shared" si="22"/>
        <v>0</v>
      </c>
      <c r="K47" s="282">
        <f t="shared" si="22"/>
        <v>0</v>
      </c>
      <c r="L47" s="282">
        <f t="shared" si="22"/>
        <v>0</v>
      </c>
      <c r="M47" s="282">
        <f t="shared" si="22"/>
        <v>0</v>
      </c>
      <c r="N47" s="282">
        <f t="shared" si="22"/>
        <v>0</v>
      </c>
      <c r="O47" s="282">
        <f t="shared" si="22"/>
        <v>0</v>
      </c>
      <c r="P47" s="282">
        <f t="shared" si="22"/>
        <v>0</v>
      </c>
      <c r="Q47" s="279">
        <f>SUM(R47:AC47)</f>
        <v>57251</v>
      </c>
      <c r="R47" s="24">
        <f>SUM(R52)</f>
        <v>0</v>
      </c>
      <c r="S47" s="282">
        <f>SUM(S50:S52)</f>
        <v>1354</v>
      </c>
      <c r="T47" s="282">
        <f>SUM(T50:T52)</f>
        <v>54543</v>
      </c>
      <c r="U47" s="282">
        <f t="shared" ref="U47:Z47" si="23">SUM(U50:U52)</f>
        <v>1354</v>
      </c>
      <c r="V47" s="282">
        <f t="shared" si="23"/>
        <v>0</v>
      </c>
      <c r="W47" s="282">
        <f t="shared" si="23"/>
        <v>0</v>
      </c>
      <c r="X47" s="24">
        <f t="shared" si="23"/>
        <v>0</v>
      </c>
      <c r="Y47" s="24">
        <f t="shared" si="23"/>
        <v>0</v>
      </c>
      <c r="Z47" s="282">
        <f t="shared" si="23"/>
        <v>0</v>
      </c>
      <c r="AA47" s="24">
        <f>SUM(AA50:AA52)</f>
        <v>0</v>
      </c>
      <c r="AB47" s="24">
        <f>SUM(AB50:AB52)</f>
        <v>0</v>
      </c>
      <c r="AC47" s="24">
        <f>SUM(AC50:AC52)</f>
        <v>0</v>
      </c>
      <c r="AD47" s="282">
        <f t="shared" si="15"/>
        <v>36394</v>
      </c>
    </row>
    <row r="48" spans="1:33" ht="21.75" customHeight="1">
      <c r="A48" s="649" t="s">
        <v>217</v>
      </c>
      <c r="B48" s="649"/>
      <c r="C48" s="650"/>
      <c r="D48" s="614">
        <f>D47-D49-D50-D52</f>
        <v>0</v>
      </c>
      <c r="E48" s="294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584"/>
      <c r="R48" s="24"/>
      <c r="S48" s="282"/>
      <c r="T48" s="282"/>
      <c r="U48" s="282"/>
      <c r="V48" s="282"/>
      <c r="W48" s="282"/>
      <c r="X48" s="24"/>
      <c r="Y48" s="24"/>
      <c r="Z48" s="282"/>
      <c r="AA48" s="24"/>
      <c r="AB48" s="24"/>
      <c r="AC48" s="24"/>
      <c r="AD48" s="282"/>
    </row>
    <row r="49" spans="1:33" ht="21.75" customHeight="1">
      <c r="A49" s="689" t="s">
        <v>246</v>
      </c>
      <c r="B49" s="649"/>
      <c r="C49" s="650"/>
      <c r="D49" s="295">
        <v>4300</v>
      </c>
      <c r="E49" s="294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584"/>
      <c r="R49" s="24"/>
      <c r="S49" s="282"/>
      <c r="T49" s="282"/>
      <c r="U49" s="282"/>
      <c r="V49" s="282"/>
      <c r="W49" s="282"/>
      <c r="X49" s="24"/>
      <c r="Y49" s="24"/>
      <c r="Z49" s="282"/>
      <c r="AA49" s="24"/>
      <c r="AB49" s="24"/>
      <c r="AC49" s="24"/>
      <c r="AD49" s="282"/>
    </row>
    <row r="50" spans="1:33" ht="29.45" customHeight="1">
      <c r="A50" s="646" t="s">
        <v>146</v>
      </c>
      <c r="B50" s="646"/>
      <c r="C50" s="647"/>
      <c r="D50" s="295">
        <f>3381+3381+3381+3381+3381+3381+3381+3381+3381+15000</f>
        <v>45429</v>
      </c>
      <c r="E50" s="296"/>
      <c r="F50" s="278">
        <v>1354</v>
      </c>
      <c r="G50" s="278">
        <v>4099</v>
      </c>
      <c r="H50" s="278">
        <v>1354</v>
      </c>
      <c r="I50" s="278"/>
      <c r="J50" s="278"/>
      <c r="K50" s="23"/>
      <c r="L50" s="278"/>
      <c r="M50" s="278"/>
      <c r="N50" s="278"/>
      <c r="O50" s="278"/>
      <c r="P50" s="278"/>
      <c r="Q50" s="412">
        <f>SUM(D50)</f>
        <v>45429</v>
      </c>
      <c r="R50" s="53"/>
      <c r="S50" s="372">
        <v>1354</v>
      </c>
      <c r="T50" s="278">
        <f>1354+2745</f>
        <v>4099</v>
      </c>
      <c r="U50" s="374">
        <v>1354</v>
      </c>
      <c r="V50" s="372"/>
      <c r="W50" s="372"/>
      <c r="X50" s="372"/>
      <c r="Y50" s="374"/>
      <c r="Z50" s="372"/>
      <c r="AA50" s="371"/>
      <c r="AB50" s="371"/>
      <c r="AC50" s="371"/>
      <c r="AD50" s="388"/>
    </row>
    <row r="51" spans="1:33" ht="22.15" customHeight="1">
      <c r="A51" s="646" t="s">
        <v>196</v>
      </c>
      <c r="B51" s="646"/>
      <c r="C51" s="647"/>
      <c r="D51" s="295"/>
      <c r="E51" s="296"/>
      <c r="F51" s="278"/>
      <c r="G51" s="278"/>
      <c r="H51" s="278"/>
      <c r="I51" s="278"/>
      <c r="J51" s="278"/>
      <c r="K51" s="23"/>
      <c r="L51" s="278"/>
      <c r="M51" s="278"/>
      <c r="N51" s="278"/>
      <c r="O51" s="278"/>
      <c r="P51" s="278"/>
      <c r="Q51" s="412">
        <f>SUM(D51)</f>
        <v>0</v>
      </c>
      <c r="R51" s="53"/>
      <c r="S51" s="372"/>
      <c r="T51" s="278"/>
      <c r="U51" s="374"/>
      <c r="V51" s="371"/>
      <c r="W51" s="371"/>
      <c r="X51" s="372"/>
      <c r="Y51" s="374"/>
      <c r="Z51" s="372"/>
      <c r="AA51" s="53"/>
      <c r="AB51" s="371"/>
      <c r="AC51" s="371"/>
      <c r="AD51" s="388"/>
    </row>
    <row r="52" spans="1:33" ht="24" customHeight="1">
      <c r="A52" s="646" t="s">
        <v>52</v>
      </c>
      <c r="B52" s="646"/>
      <c r="C52" s="647"/>
      <c r="D52" s="295">
        <v>43916</v>
      </c>
      <c r="E52" s="296"/>
      <c r="F52" s="278"/>
      <c r="G52" s="278">
        <f>7590+42854</f>
        <v>50444</v>
      </c>
      <c r="H52" s="278"/>
      <c r="I52" s="278"/>
      <c r="J52" s="278"/>
      <c r="K52" s="23"/>
      <c r="L52" s="278"/>
      <c r="M52" s="278"/>
      <c r="N52" s="278"/>
      <c r="O52" s="278"/>
      <c r="P52" s="278"/>
      <c r="Q52" s="412">
        <f>SUM(D52)</f>
        <v>43916</v>
      </c>
      <c r="R52" s="53"/>
      <c r="S52" s="372"/>
      <c r="T52" s="278">
        <f>7590+42854</f>
        <v>50444</v>
      </c>
      <c r="U52" s="374"/>
      <c r="V52" s="371"/>
      <c r="W52" s="371"/>
      <c r="X52" s="301"/>
      <c r="Y52" s="374"/>
      <c r="Z52" s="372"/>
      <c r="AA52" s="53"/>
      <c r="AB52" s="371"/>
      <c r="AC52" s="371"/>
      <c r="AD52" s="388"/>
    </row>
    <row r="53" spans="1:33" ht="36.75" customHeight="1">
      <c r="A53" s="644" t="s">
        <v>31</v>
      </c>
      <c r="B53" s="644">
        <v>244</v>
      </c>
      <c r="C53" s="645">
        <v>0</v>
      </c>
      <c r="D53" s="623">
        <f>D56+D55</f>
        <v>0</v>
      </c>
      <c r="E53" s="294"/>
      <c r="F53" s="282"/>
      <c r="G53" s="282"/>
      <c r="H53" s="282">
        <f>SUM(H55:H56)</f>
        <v>79900</v>
      </c>
      <c r="I53" s="282"/>
      <c r="J53" s="282"/>
      <c r="K53" s="24"/>
      <c r="L53" s="282"/>
      <c r="M53" s="282"/>
      <c r="N53" s="282"/>
      <c r="O53" s="282">
        <f>SUM(O55:O56)</f>
        <v>0</v>
      </c>
      <c r="P53" s="282">
        <f>SUM(P55:P56)</f>
        <v>0</v>
      </c>
      <c r="Q53" s="279">
        <f>SUM(R53:AC53)</f>
        <v>79900</v>
      </c>
      <c r="R53" s="24"/>
      <c r="S53" s="24"/>
      <c r="T53" s="24"/>
      <c r="U53" s="282">
        <f>SUM(U55:U56)</f>
        <v>79900</v>
      </c>
      <c r="V53" s="24"/>
      <c r="W53" s="24"/>
      <c r="X53" s="24"/>
      <c r="Y53" s="24"/>
      <c r="Z53" s="24"/>
      <c r="AA53" s="24"/>
      <c r="AB53" s="282"/>
      <c r="AC53" s="282"/>
      <c r="AD53" s="282">
        <f>C53+D53-Q53</f>
        <v>-79900</v>
      </c>
    </row>
    <row r="54" spans="1:33" ht="21" hidden="1" customHeight="1">
      <c r="A54" s="649" t="s">
        <v>217</v>
      </c>
      <c r="B54" s="649"/>
      <c r="C54" s="650"/>
      <c r="D54" s="614"/>
      <c r="E54" s="294"/>
      <c r="F54" s="282"/>
      <c r="G54" s="282"/>
      <c r="H54" s="282"/>
      <c r="I54" s="282"/>
      <c r="J54" s="282"/>
      <c r="K54" s="24"/>
      <c r="L54" s="282"/>
      <c r="M54" s="282"/>
      <c r="N54" s="282"/>
      <c r="O54" s="282"/>
      <c r="P54" s="282"/>
      <c r="Q54" s="584"/>
      <c r="R54" s="24"/>
      <c r="S54" s="24"/>
      <c r="T54" s="24"/>
      <c r="U54" s="282"/>
      <c r="V54" s="24"/>
      <c r="W54" s="24"/>
      <c r="X54" s="24"/>
      <c r="Y54" s="24"/>
      <c r="Z54" s="24"/>
      <c r="AA54" s="24"/>
      <c r="AB54" s="282"/>
      <c r="AC54" s="282"/>
      <c r="AD54" s="282"/>
    </row>
    <row r="55" spans="1:33" ht="20.25" hidden="1" customHeight="1">
      <c r="A55" s="642" t="s">
        <v>236</v>
      </c>
      <c r="B55" s="642"/>
      <c r="C55" s="643"/>
      <c r="D55" s="412"/>
      <c r="E55" s="282"/>
      <c r="F55" s="282"/>
      <c r="G55" s="282"/>
      <c r="H55" s="278">
        <v>79900</v>
      </c>
      <c r="I55" s="282"/>
      <c r="J55" s="282"/>
      <c r="K55" s="24"/>
      <c r="L55" s="282"/>
      <c r="M55" s="282"/>
      <c r="N55" s="282"/>
      <c r="O55" s="278"/>
      <c r="P55" s="278"/>
      <c r="Q55" s="278">
        <f>SUM(U55)</f>
        <v>79900</v>
      </c>
      <c r="R55" s="53"/>
      <c r="S55" s="53"/>
      <c r="T55" s="53"/>
      <c r="U55" s="372">
        <v>79900</v>
      </c>
      <c r="V55" s="53"/>
      <c r="W55" s="53"/>
      <c r="X55" s="53"/>
      <c r="Y55" s="53"/>
      <c r="Z55" s="53"/>
      <c r="AA55" s="53"/>
      <c r="AB55" s="53"/>
      <c r="AC55" s="372"/>
      <c r="AD55" s="388"/>
    </row>
    <row r="56" spans="1:33" ht="18" hidden="1" customHeight="1">
      <c r="A56" s="50" t="s">
        <v>168</v>
      </c>
      <c r="B56" s="50"/>
      <c r="C56" s="52"/>
      <c r="D56" s="278"/>
      <c r="E56" s="282"/>
      <c r="F56" s="282"/>
      <c r="G56" s="282"/>
      <c r="H56" s="282"/>
      <c r="I56" s="282"/>
      <c r="J56" s="282"/>
      <c r="K56" s="24"/>
      <c r="L56" s="282"/>
      <c r="M56" s="282"/>
      <c r="N56" s="282"/>
      <c r="O56" s="278"/>
      <c r="P56" s="282"/>
      <c r="Q56" s="278">
        <f>SUM(AB56)</f>
        <v>0</v>
      </c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388"/>
    </row>
    <row r="57" spans="1:33" ht="56.25" customHeight="1">
      <c r="A57" s="635" t="s">
        <v>193</v>
      </c>
      <c r="B57" s="635">
        <v>244</v>
      </c>
      <c r="C57" s="563">
        <v>0</v>
      </c>
      <c r="D57" s="623">
        <f>193540+416934+244063</f>
        <v>854537</v>
      </c>
      <c r="E57" s="282">
        <f>SUM(E59:E63)</f>
        <v>0</v>
      </c>
      <c r="F57" s="282">
        <f t="shared" ref="F57:P57" si="24">SUM(F59:F63)</f>
        <v>0</v>
      </c>
      <c r="G57" s="282">
        <f t="shared" si="24"/>
        <v>0</v>
      </c>
      <c r="H57" s="282">
        <f t="shared" si="24"/>
        <v>9400</v>
      </c>
      <c r="I57" s="282">
        <f t="shared" si="24"/>
        <v>0</v>
      </c>
      <c r="J57" s="282">
        <f t="shared" si="24"/>
        <v>0</v>
      </c>
      <c r="K57" s="282">
        <f t="shared" si="24"/>
        <v>0</v>
      </c>
      <c r="L57" s="282">
        <f t="shared" si="24"/>
        <v>0</v>
      </c>
      <c r="M57" s="282">
        <f t="shared" si="24"/>
        <v>0</v>
      </c>
      <c r="N57" s="282">
        <f t="shared" si="24"/>
        <v>0</v>
      </c>
      <c r="O57" s="282">
        <f t="shared" si="24"/>
        <v>0</v>
      </c>
      <c r="P57" s="282">
        <f t="shared" si="24"/>
        <v>0</v>
      </c>
      <c r="Q57" s="279">
        <f>SUM(R57:AC57)</f>
        <v>9400</v>
      </c>
      <c r="R57" s="24">
        <f t="shared" ref="R57:AC57" si="25">SUM(R59:R63)</f>
        <v>0</v>
      </c>
      <c r="S57" s="24">
        <f t="shared" si="25"/>
        <v>0</v>
      </c>
      <c r="T57" s="282">
        <f t="shared" si="25"/>
        <v>0</v>
      </c>
      <c r="U57" s="282">
        <f t="shared" si="25"/>
        <v>9400</v>
      </c>
      <c r="V57" s="24">
        <f t="shared" si="25"/>
        <v>0</v>
      </c>
      <c r="W57" s="282">
        <f t="shared" si="25"/>
        <v>0</v>
      </c>
      <c r="X57" s="24">
        <f t="shared" si="25"/>
        <v>0</v>
      </c>
      <c r="Y57" s="24">
        <f t="shared" si="25"/>
        <v>0</v>
      </c>
      <c r="Z57" s="24">
        <f t="shared" si="25"/>
        <v>0</v>
      </c>
      <c r="AA57" s="24">
        <f t="shared" si="25"/>
        <v>0</v>
      </c>
      <c r="AB57" s="24">
        <f t="shared" si="25"/>
        <v>0</v>
      </c>
      <c r="AC57" s="282">
        <f t="shared" si="25"/>
        <v>0</v>
      </c>
      <c r="AD57" s="282">
        <f>C57+D57-Q57</f>
        <v>845137</v>
      </c>
      <c r="AG57" s="20"/>
    </row>
    <row r="58" spans="1:33" ht="29.45" customHeight="1">
      <c r="A58" s="630" t="s">
        <v>217</v>
      </c>
      <c r="B58" s="630"/>
      <c r="C58" s="651">
        <v>0</v>
      </c>
      <c r="D58" s="614">
        <f>D57-D59-D60-D63-D61</f>
        <v>0</v>
      </c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79"/>
      <c r="R58" s="24"/>
      <c r="S58" s="24"/>
      <c r="T58" s="282"/>
      <c r="U58" s="282"/>
      <c r="V58" s="24"/>
      <c r="W58" s="282"/>
      <c r="X58" s="24"/>
      <c r="Y58" s="24"/>
      <c r="Z58" s="24"/>
      <c r="AA58" s="24"/>
      <c r="AB58" s="24"/>
      <c r="AC58" s="282"/>
      <c r="AD58" s="282"/>
      <c r="AG58" s="20"/>
    </row>
    <row r="59" spans="1:33" ht="31.5" customHeight="1">
      <c r="A59" s="55" t="s">
        <v>169</v>
      </c>
      <c r="B59" s="55"/>
      <c r="C59" s="52" t="s">
        <v>33</v>
      </c>
      <c r="D59" s="295">
        <v>140000</v>
      </c>
      <c r="E59" s="297"/>
      <c r="F59" s="297"/>
      <c r="G59" s="297"/>
      <c r="H59" s="297"/>
      <c r="I59" s="297"/>
      <c r="J59" s="297"/>
      <c r="K59" s="346"/>
      <c r="L59" s="297"/>
      <c r="M59" s="297"/>
      <c r="N59" s="297"/>
      <c r="O59" s="297"/>
      <c r="P59" s="297"/>
      <c r="Q59" s="295">
        <f>SUM(R59:AC59)</f>
        <v>0</v>
      </c>
      <c r="R59" s="53"/>
      <c r="S59" s="53"/>
      <c r="T59" s="53"/>
      <c r="U59" s="372"/>
      <c r="V59" s="371"/>
      <c r="W59" s="372"/>
      <c r="X59" s="53"/>
      <c r="Y59" s="381"/>
      <c r="Z59" s="53"/>
      <c r="AA59" s="53"/>
      <c r="AB59" s="372"/>
      <c r="AC59" s="372"/>
      <c r="AD59" s="54" t="s">
        <v>33</v>
      </c>
    </row>
    <row r="60" spans="1:33" ht="24" customHeight="1">
      <c r="A60" s="55" t="s">
        <v>170</v>
      </c>
      <c r="B60" s="55"/>
      <c r="C60" s="52" t="s">
        <v>33</v>
      </c>
      <c r="D60" s="295">
        <v>160500</v>
      </c>
      <c r="E60" s="297"/>
      <c r="F60" s="297"/>
      <c r="G60" s="297"/>
      <c r="H60" s="297"/>
      <c r="I60" s="297"/>
      <c r="J60" s="297"/>
      <c r="K60" s="346"/>
      <c r="L60" s="297"/>
      <c r="M60" s="297"/>
      <c r="N60" s="297"/>
      <c r="O60" s="297"/>
      <c r="P60" s="297"/>
      <c r="Q60" s="295">
        <f>SUM(R60:AC60)</f>
        <v>0</v>
      </c>
      <c r="R60" s="53"/>
      <c r="S60" s="53"/>
      <c r="T60" s="53"/>
      <c r="U60" s="53"/>
      <c r="V60" s="371"/>
      <c r="W60" s="53"/>
      <c r="X60" s="371"/>
      <c r="Y60" s="381"/>
      <c r="Z60" s="53"/>
      <c r="AA60" s="374"/>
      <c r="AB60" s="372"/>
      <c r="AC60" s="372"/>
      <c r="AD60" s="54" t="s">
        <v>33</v>
      </c>
      <c r="AG60" s="20"/>
    </row>
    <row r="61" spans="1:33" ht="24" customHeight="1">
      <c r="A61" s="55" t="s">
        <v>158</v>
      </c>
      <c r="B61" s="55"/>
      <c r="C61" s="52"/>
      <c r="D61" s="295">
        <f>53540+256434+244063</f>
        <v>554037</v>
      </c>
      <c r="E61" s="297"/>
      <c r="F61" s="297"/>
      <c r="G61" s="297"/>
      <c r="H61" s="297"/>
      <c r="I61" s="297"/>
      <c r="J61" s="297"/>
      <c r="K61" s="346"/>
      <c r="L61" s="297"/>
      <c r="M61" s="297"/>
      <c r="N61" s="297"/>
      <c r="O61" s="297"/>
      <c r="P61" s="297"/>
      <c r="Q61" s="295">
        <f>SUM(R61:AC61)</f>
        <v>0</v>
      </c>
      <c r="R61" s="53"/>
      <c r="S61" s="53"/>
      <c r="T61" s="53"/>
      <c r="U61" s="53"/>
      <c r="V61" s="53"/>
      <c r="W61" s="372"/>
      <c r="X61" s="53"/>
      <c r="Y61" s="381"/>
      <c r="Z61" s="53"/>
      <c r="AA61" s="374"/>
      <c r="AB61" s="372"/>
      <c r="AC61" s="53"/>
      <c r="AD61" s="54"/>
    </row>
    <row r="62" spans="1:33" ht="24" hidden="1" customHeight="1">
      <c r="A62" s="50" t="s">
        <v>166</v>
      </c>
      <c r="B62" s="50"/>
      <c r="C62" s="52"/>
      <c r="D62" s="295"/>
      <c r="E62" s="297"/>
      <c r="F62" s="297"/>
      <c r="G62" s="297"/>
      <c r="H62" s="297"/>
      <c r="I62" s="297"/>
      <c r="J62" s="297"/>
      <c r="K62" s="346"/>
      <c r="L62" s="297"/>
      <c r="M62" s="297"/>
      <c r="N62" s="297"/>
      <c r="O62" s="297"/>
      <c r="P62" s="297"/>
      <c r="Q62" s="295">
        <f>SUM(AB62)</f>
        <v>0</v>
      </c>
      <c r="R62" s="53"/>
      <c r="S62" s="53"/>
      <c r="T62" s="53"/>
      <c r="U62" s="53"/>
      <c r="V62" s="53"/>
      <c r="W62" s="301"/>
      <c r="X62" s="53"/>
      <c r="Y62" s="381"/>
      <c r="Z62" s="53"/>
      <c r="AA62" s="53"/>
      <c r="AB62" s="372"/>
      <c r="AC62" s="53"/>
      <c r="AD62" s="54"/>
    </row>
    <row r="63" spans="1:33" ht="24" hidden="1" customHeight="1">
      <c r="A63" s="55" t="s">
        <v>159</v>
      </c>
      <c r="B63" s="55"/>
      <c r="C63" s="52" t="s">
        <v>33</v>
      </c>
      <c r="D63" s="295"/>
      <c r="E63" s="297"/>
      <c r="F63" s="297"/>
      <c r="G63" s="297"/>
      <c r="H63" s="297">
        <v>9400</v>
      </c>
      <c r="I63" s="297"/>
      <c r="J63" s="297"/>
      <c r="K63" s="346"/>
      <c r="L63" s="297"/>
      <c r="M63" s="297"/>
      <c r="N63" s="297"/>
      <c r="O63" s="297"/>
      <c r="P63" s="297"/>
      <c r="Q63" s="295">
        <f>SUM(R63:AC63)</f>
        <v>9400</v>
      </c>
      <c r="R63" s="53"/>
      <c r="S63" s="53"/>
      <c r="T63" s="372"/>
      <c r="U63" s="53">
        <v>9400</v>
      </c>
      <c r="V63" s="372"/>
      <c r="W63" s="372"/>
      <c r="X63" s="53"/>
      <c r="Y63" s="371"/>
      <c r="Z63" s="53"/>
      <c r="AA63" s="53"/>
      <c r="AB63" s="372"/>
      <c r="AC63" s="53"/>
      <c r="AD63" s="54" t="s">
        <v>33</v>
      </c>
    </row>
    <row r="64" spans="1:33" ht="21.6" customHeight="1" thickBot="1">
      <c r="A64" s="131" t="s">
        <v>35</v>
      </c>
      <c r="B64" s="131"/>
      <c r="C64" s="132">
        <f t="shared" ref="C64:AC64" si="26">C7+C10+C13+C41+C43+C47+C53+C57+C42</f>
        <v>0</v>
      </c>
      <c r="D64" s="424">
        <f t="shared" si="26"/>
        <v>23234005.030000001</v>
      </c>
      <c r="E64" s="298">
        <f t="shared" si="26"/>
        <v>258684.82</v>
      </c>
      <c r="F64" s="298">
        <f t="shared" si="26"/>
        <v>1693115.5899999999</v>
      </c>
      <c r="G64" s="298">
        <f t="shared" si="26"/>
        <v>1574839.41</v>
      </c>
      <c r="H64" s="298">
        <f t="shared" si="26"/>
        <v>2582156.4900000002</v>
      </c>
      <c r="I64" s="298">
        <f t="shared" si="26"/>
        <v>0</v>
      </c>
      <c r="J64" s="424">
        <f t="shared" si="26"/>
        <v>0</v>
      </c>
      <c r="K64" s="422">
        <f t="shared" si="26"/>
        <v>0</v>
      </c>
      <c r="L64" s="298">
        <f t="shared" si="26"/>
        <v>0</v>
      </c>
      <c r="M64" s="298">
        <f t="shared" si="26"/>
        <v>0</v>
      </c>
      <c r="N64" s="298">
        <f t="shared" si="26"/>
        <v>0</v>
      </c>
      <c r="O64" s="298">
        <f t="shared" si="26"/>
        <v>0</v>
      </c>
      <c r="P64" s="298">
        <f t="shared" si="26"/>
        <v>0</v>
      </c>
      <c r="Q64" s="424">
        <f t="shared" si="26"/>
        <v>5295309.46</v>
      </c>
      <c r="R64" s="133">
        <f t="shared" si="26"/>
        <v>258684.31000000006</v>
      </c>
      <c r="S64" s="133">
        <f t="shared" si="26"/>
        <v>1654300.2</v>
      </c>
      <c r="T64" s="298">
        <f t="shared" si="26"/>
        <v>1606655.17</v>
      </c>
      <c r="U64" s="298">
        <f t="shared" si="26"/>
        <v>1775669.7799999998</v>
      </c>
      <c r="V64" s="422">
        <f t="shared" si="26"/>
        <v>0</v>
      </c>
      <c r="W64" s="424">
        <f t="shared" si="26"/>
        <v>0</v>
      </c>
      <c r="X64" s="422">
        <f t="shared" si="26"/>
        <v>0</v>
      </c>
      <c r="Y64" s="298">
        <f t="shared" si="26"/>
        <v>0</v>
      </c>
      <c r="Z64" s="133">
        <f t="shared" si="26"/>
        <v>0</v>
      </c>
      <c r="AA64" s="133">
        <f t="shared" si="26"/>
        <v>0</v>
      </c>
      <c r="AB64" s="133">
        <f t="shared" si="26"/>
        <v>0</v>
      </c>
      <c r="AC64" s="133">
        <f t="shared" si="26"/>
        <v>0</v>
      </c>
      <c r="AD64" s="423">
        <f>C64+D64-Q64</f>
        <v>17938695.57</v>
      </c>
      <c r="AE64" s="20"/>
    </row>
    <row r="65" spans="1:34" ht="25.5" customHeight="1" thickBot="1">
      <c r="A65" s="574" t="s">
        <v>36</v>
      </c>
      <c r="B65" s="574"/>
      <c r="C65" s="575"/>
      <c r="D65" s="576"/>
      <c r="E65" s="58"/>
      <c r="F65" s="58"/>
      <c r="G65" s="58"/>
      <c r="H65" s="58"/>
      <c r="I65" s="58"/>
      <c r="J65" s="58"/>
      <c r="K65" s="342"/>
      <c r="L65" s="58"/>
      <c r="M65" s="58"/>
      <c r="N65" s="58"/>
      <c r="O65" s="58"/>
      <c r="P65" s="58"/>
      <c r="Q65" s="58"/>
      <c r="R65" s="137"/>
      <c r="S65" s="137"/>
      <c r="T65" s="137"/>
      <c r="U65" s="137"/>
      <c r="V65" s="137"/>
      <c r="W65" s="137"/>
      <c r="X65" s="367"/>
      <c r="Y65" s="137"/>
      <c r="Z65" s="137"/>
      <c r="AA65" s="137"/>
      <c r="AB65" s="137"/>
      <c r="AC65" s="137"/>
      <c r="AD65" s="59"/>
      <c r="AE65" s="487"/>
    </row>
    <row r="66" spans="1:34" ht="18.75" thickBot="1">
      <c r="A66" s="37" t="s">
        <v>37</v>
      </c>
      <c r="B66" s="559"/>
      <c r="C66" s="37"/>
      <c r="D66" s="58"/>
      <c r="E66" s="58"/>
      <c r="F66" s="58"/>
      <c r="G66" s="58"/>
      <c r="H66" s="58"/>
      <c r="I66" s="58"/>
      <c r="J66" s="58"/>
      <c r="K66" s="342"/>
      <c r="L66" s="58"/>
      <c r="M66" s="58"/>
      <c r="N66" s="58"/>
      <c r="O66" s="58"/>
      <c r="P66" s="58"/>
      <c r="Q66" s="58"/>
      <c r="R66" s="138"/>
      <c r="S66" s="138"/>
      <c r="T66" s="138"/>
      <c r="U66" s="138"/>
      <c r="V66" s="138"/>
      <c r="W66" s="138"/>
      <c r="X66" s="367"/>
      <c r="Y66" s="138"/>
      <c r="Z66" s="138"/>
      <c r="AA66" s="138"/>
      <c r="AB66" s="138"/>
      <c r="AC66" s="138"/>
      <c r="AD66" s="60"/>
      <c r="AE66" s="20"/>
    </row>
    <row r="67" spans="1:34" ht="28.5" customHeight="1">
      <c r="A67" s="664" t="s">
        <v>14</v>
      </c>
      <c r="B67" s="665">
        <v>111</v>
      </c>
      <c r="C67" s="666">
        <v>0</v>
      </c>
      <c r="D67" s="623">
        <f>1301947.41+483296.01+534910.56+488231.47+567873.97+433490.18+531792.44+533475.2</f>
        <v>4875017.24</v>
      </c>
      <c r="E67" s="281">
        <v>88577.45</v>
      </c>
      <c r="F67" s="281">
        <f>151694.41+112703.06-30445.11</f>
        <v>233952.36</v>
      </c>
      <c r="G67" s="281">
        <f>122540.6+111323.1-211.24</f>
        <v>233652.46000000002</v>
      </c>
      <c r="H67" s="281">
        <f>117893.57+98469.46+123636.97</f>
        <v>340000</v>
      </c>
      <c r="I67" s="281"/>
      <c r="J67" s="281"/>
      <c r="K67" s="281"/>
      <c r="L67" s="281"/>
      <c r="M67" s="281"/>
      <c r="N67" s="281"/>
      <c r="O67" s="281"/>
      <c r="P67" s="281"/>
      <c r="Q67" s="279">
        <f t="shared" ref="Q67:Q73" si="27">SUM(R67:AC67)</f>
        <v>793490.38</v>
      </c>
      <c r="R67" s="281">
        <f>62217.31+5759.88+20600</f>
        <v>88577.19</v>
      </c>
      <c r="S67" s="281">
        <f>131084.98+6926+575.69+366.74+55+91629.94</f>
        <v>230638.35</v>
      </c>
      <c r="T67" s="281">
        <f>716.9+24981+88844.58+565.49+82052.64+26971+156</f>
        <v>224287.61000000002</v>
      </c>
      <c r="U67" s="281">
        <f>26253+627.54+120931.89+102174.8</f>
        <v>249987.22999999998</v>
      </c>
      <c r="V67" s="281"/>
      <c r="W67" s="281"/>
      <c r="X67" s="281"/>
      <c r="Y67" s="281"/>
      <c r="Z67" s="281"/>
      <c r="AA67" s="281"/>
      <c r="AB67" s="281"/>
      <c r="AC67" s="281"/>
      <c r="AD67" s="281">
        <f t="shared" ref="AD67:AD73" si="28">C67+D67-Q67</f>
        <v>4081526.8600000003</v>
      </c>
      <c r="AE67" s="713"/>
      <c r="AF67" s="714"/>
      <c r="AG67" s="465"/>
    </row>
    <row r="68" spans="1:34" ht="29.45" customHeight="1">
      <c r="A68" s="667" t="s">
        <v>186</v>
      </c>
      <c r="B68" s="653"/>
      <c r="C68" s="668">
        <v>0</v>
      </c>
      <c r="D68" s="623">
        <f>D69+D70</f>
        <v>15559.94</v>
      </c>
      <c r="E68" s="282"/>
      <c r="F68" s="282">
        <f>SUM(F69:F70)</f>
        <v>500</v>
      </c>
      <c r="G68" s="282">
        <f>SUM(G69:G70)</f>
        <v>690.36999999999989</v>
      </c>
      <c r="H68" s="282">
        <f>SUM(H69:H70)</f>
        <v>50</v>
      </c>
      <c r="I68" s="282">
        <f t="shared" ref="I68:P68" si="29">SUM(I69:I70)</f>
        <v>0</v>
      </c>
      <c r="J68" s="282">
        <f t="shared" si="29"/>
        <v>0</v>
      </c>
      <c r="K68" s="282">
        <f t="shared" si="29"/>
        <v>0</v>
      </c>
      <c r="L68" s="282">
        <f t="shared" si="29"/>
        <v>0</v>
      </c>
      <c r="M68" s="282">
        <f t="shared" si="29"/>
        <v>0</v>
      </c>
      <c r="N68" s="282">
        <f t="shared" si="29"/>
        <v>0</v>
      </c>
      <c r="O68" s="282">
        <f t="shared" si="29"/>
        <v>0</v>
      </c>
      <c r="P68" s="282">
        <f t="shared" si="29"/>
        <v>0</v>
      </c>
      <c r="Q68" s="279">
        <f t="shared" si="27"/>
        <v>1190.3699999999999</v>
      </c>
      <c r="R68" s="282">
        <f>SUM(R69:R70)</f>
        <v>0</v>
      </c>
      <c r="S68" s="282">
        <f>SUM(S69:S70)</f>
        <v>50</v>
      </c>
      <c r="T68" s="282">
        <f>SUM(T69:T70)</f>
        <v>1090.3699999999999</v>
      </c>
      <c r="U68" s="282">
        <f>SUM(U69:U70)</f>
        <v>50</v>
      </c>
      <c r="V68" s="282">
        <f>SUM(V69:V70)</f>
        <v>0</v>
      </c>
      <c r="W68" s="282">
        <f t="shared" ref="W68:AC68" si="30">SUM(W69:W70)</f>
        <v>0</v>
      </c>
      <c r="X68" s="282">
        <f t="shared" si="30"/>
        <v>0</v>
      </c>
      <c r="Y68" s="282">
        <f t="shared" si="30"/>
        <v>0</v>
      </c>
      <c r="Z68" s="282">
        <f t="shared" si="30"/>
        <v>0</v>
      </c>
      <c r="AA68" s="282">
        <f t="shared" si="30"/>
        <v>0</v>
      </c>
      <c r="AB68" s="282">
        <f t="shared" si="30"/>
        <v>0</v>
      </c>
      <c r="AC68" s="282">
        <f t="shared" si="30"/>
        <v>0</v>
      </c>
      <c r="AD68" s="404">
        <f t="shared" si="28"/>
        <v>14369.57</v>
      </c>
      <c r="AE68" s="491"/>
      <c r="AF68" s="20"/>
      <c r="AG68" s="20"/>
      <c r="AH68" s="20"/>
    </row>
    <row r="69" spans="1:34" ht="30.75" customHeight="1">
      <c r="A69" s="504" t="s">
        <v>208</v>
      </c>
      <c r="B69" s="504">
        <v>111</v>
      </c>
      <c r="C69" s="557"/>
      <c r="D69" s="448">
        <f>7149.18+1945.81+3181.18+1601.94+1681.83</f>
        <v>15559.94</v>
      </c>
      <c r="E69" s="279"/>
      <c r="F69" s="279"/>
      <c r="G69" s="279">
        <v>1040.3699999999999</v>
      </c>
      <c r="H69" s="279"/>
      <c r="I69" s="279"/>
      <c r="J69" s="279"/>
      <c r="K69" s="344"/>
      <c r="L69" s="344"/>
      <c r="M69" s="279"/>
      <c r="N69" s="279"/>
      <c r="O69" s="279"/>
      <c r="P69" s="279"/>
      <c r="Q69" s="448">
        <f t="shared" si="27"/>
        <v>1040.3699999999999</v>
      </c>
      <c r="R69" s="344"/>
      <c r="S69" s="279"/>
      <c r="T69" s="279">
        <v>1040.3699999999999</v>
      </c>
      <c r="U69" s="279"/>
      <c r="V69" s="279"/>
      <c r="W69" s="344"/>
      <c r="X69" s="344"/>
      <c r="Y69" s="344"/>
      <c r="Z69" s="279"/>
      <c r="AA69" s="279"/>
      <c r="AB69" s="279"/>
      <c r="AC69" s="453"/>
      <c r="AD69" s="279">
        <f t="shared" si="28"/>
        <v>14519.57</v>
      </c>
      <c r="AE69" s="499"/>
      <c r="AF69" s="220"/>
      <c r="AG69" s="220"/>
    </row>
    <row r="70" spans="1:34" ht="18.75" customHeight="1">
      <c r="A70" s="505" t="s">
        <v>207</v>
      </c>
      <c r="B70" s="505">
        <v>112</v>
      </c>
      <c r="C70" s="557"/>
      <c r="D70" s="279">
        <v>0</v>
      </c>
      <c r="E70" s="279"/>
      <c r="F70" s="279">
        <v>500</v>
      </c>
      <c r="G70" s="279">
        <v>-350</v>
      </c>
      <c r="H70" s="279">
        <v>50</v>
      </c>
      <c r="I70" s="279"/>
      <c r="J70" s="279"/>
      <c r="K70" s="279"/>
      <c r="L70" s="344"/>
      <c r="M70" s="279"/>
      <c r="N70" s="279"/>
      <c r="O70" s="279"/>
      <c r="P70" s="279"/>
      <c r="Q70" s="448">
        <f t="shared" si="27"/>
        <v>150</v>
      </c>
      <c r="R70" s="344"/>
      <c r="S70" s="279">
        <v>50</v>
      </c>
      <c r="T70" s="279">
        <v>50</v>
      </c>
      <c r="U70" s="279">
        <v>50</v>
      </c>
      <c r="V70" s="279"/>
      <c r="W70" s="344"/>
      <c r="X70" s="279"/>
      <c r="Y70" s="344"/>
      <c r="Z70" s="279"/>
      <c r="AA70" s="279"/>
      <c r="AB70" s="279"/>
      <c r="AC70" s="485"/>
      <c r="AD70" s="279">
        <f t="shared" si="28"/>
        <v>-150</v>
      </c>
      <c r="AE70" s="491"/>
      <c r="AF70" s="220"/>
      <c r="AG70" s="465"/>
    </row>
    <row r="71" spans="1:34" ht="25.9" customHeight="1">
      <c r="A71" s="652" t="s">
        <v>25</v>
      </c>
      <c r="B71" s="665">
        <v>119</v>
      </c>
      <c r="C71" s="668">
        <f>16003.27-16003.27</f>
        <v>0</v>
      </c>
      <c r="D71" s="623">
        <f>314124.94+152258.88+151723.55+154543.58+146690.61+217310+215888.27+710.41+53854.32</f>
        <v>1407104.56</v>
      </c>
      <c r="E71" s="282"/>
      <c r="F71" s="282">
        <f>64601.34+3845.11</f>
        <v>68446.45</v>
      </c>
      <c r="G71" s="282">
        <f>64316.65-479.13</f>
        <v>63837.520000000004</v>
      </c>
      <c r="H71" s="282">
        <v>69216.67</v>
      </c>
      <c r="I71" s="282"/>
      <c r="J71" s="282"/>
      <c r="K71" s="282"/>
      <c r="L71" s="282"/>
      <c r="M71" s="282"/>
      <c r="N71" s="282"/>
      <c r="O71" s="282"/>
      <c r="P71" s="282"/>
      <c r="Q71" s="279">
        <f t="shared" si="27"/>
        <v>203249.45</v>
      </c>
      <c r="R71" s="24"/>
      <c r="S71" s="282">
        <f>68446.45</f>
        <v>68446.45</v>
      </c>
      <c r="T71" s="282">
        <f>63837.52</f>
        <v>63837.52</v>
      </c>
      <c r="U71" s="282">
        <f>66662.02+4303.46</f>
        <v>70965.48000000001</v>
      </c>
      <c r="V71" s="282"/>
      <c r="W71" s="282"/>
      <c r="X71" s="288"/>
      <c r="Y71" s="282"/>
      <c r="Z71" s="282"/>
      <c r="AA71" s="282"/>
      <c r="AB71" s="282"/>
      <c r="AC71" s="282"/>
      <c r="AD71" s="282">
        <f>C71+D71-Q71</f>
        <v>1203855.1100000001</v>
      </c>
      <c r="AE71" s="500"/>
      <c r="AF71" s="20"/>
      <c r="AG71" s="20"/>
    </row>
    <row r="72" spans="1:34" ht="18.75" hidden="1">
      <c r="A72" s="556" t="s">
        <v>19</v>
      </c>
      <c r="B72" s="561"/>
      <c r="C72" s="558"/>
      <c r="D72" s="295">
        <f>SUM(E72:P72)</f>
        <v>0</v>
      </c>
      <c r="E72" s="299"/>
      <c r="F72" s="299"/>
      <c r="G72" s="299"/>
      <c r="H72" s="299"/>
      <c r="I72" s="299"/>
      <c r="J72" s="299"/>
      <c r="K72" s="46"/>
      <c r="L72" s="299"/>
      <c r="M72" s="299"/>
      <c r="N72" s="299"/>
      <c r="O72" s="299"/>
      <c r="P72" s="299"/>
      <c r="Q72" s="295">
        <f t="shared" si="27"/>
        <v>0</v>
      </c>
      <c r="R72" s="139"/>
      <c r="S72" s="394"/>
      <c r="T72" s="139"/>
      <c r="U72" s="139"/>
      <c r="V72" s="139"/>
      <c r="W72" s="139"/>
      <c r="X72" s="139"/>
      <c r="Y72" s="139"/>
      <c r="Z72" s="139"/>
      <c r="AA72" s="394"/>
      <c r="AB72" s="394"/>
      <c r="AC72" s="139"/>
      <c r="AD72" s="281">
        <f t="shared" si="28"/>
        <v>0</v>
      </c>
    </row>
    <row r="73" spans="1:34" ht="21.6" hidden="1" customHeight="1">
      <c r="A73" s="652" t="s">
        <v>26</v>
      </c>
      <c r="B73" s="665">
        <v>244</v>
      </c>
      <c r="C73" s="668">
        <v>0</v>
      </c>
      <c r="D73" s="623">
        <f>SUM(E73:P73)</f>
        <v>0</v>
      </c>
      <c r="E73" s="282"/>
      <c r="F73" s="282"/>
      <c r="G73" s="282"/>
      <c r="H73" s="282"/>
      <c r="I73" s="282"/>
      <c r="J73" s="282"/>
      <c r="K73" s="24"/>
      <c r="L73" s="282"/>
      <c r="N73" s="282"/>
      <c r="O73" s="282"/>
      <c r="P73" s="282"/>
      <c r="Q73" s="279">
        <f t="shared" si="27"/>
        <v>0</v>
      </c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281">
        <f t="shared" si="28"/>
        <v>0</v>
      </c>
      <c r="AE73" s="20"/>
      <c r="AG73" s="20"/>
    </row>
    <row r="74" spans="1:34" ht="19.899999999999999" hidden="1" customHeight="1">
      <c r="A74" s="63" t="s">
        <v>38</v>
      </c>
      <c r="B74" s="560"/>
      <c r="C74" s="52" t="s">
        <v>33</v>
      </c>
      <c r="D74" s="282"/>
      <c r="E74" s="282"/>
      <c r="F74" s="282"/>
      <c r="G74" s="282"/>
      <c r="H74" s="282"/>
      <c r="I74" s="282"/>
      <c r="J74" s="282"/>
      <c r="K74" s="24"/>
      <c r="L74" s="282"/>
      <c r="M74" s="282"/>
      <c r="N74" s="282"/>
      <c r="O74" s="282"/>
      <c r="P74" s="282"/>
      <c r="Q74" s="282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281"/>
      <c r="AE74" s="20"/>
      <c r="AG74" s="20"/>
    </row>
    <row r="75" spans="1:34" ht="19.899999999999999" hidden="1" customHeight="1">
      <c r="A75" s="63" t="s">
        <v>39</v>
      </c>
      <c r="B75" s="63"/>
      <c r="C75" s="52" t="s">
        <v>33</v>
      </c>
      <c r="D75" s="282"/>
      <c r="E75" s="282"/>
      <c r="F75" s="282"/>
      <c r="G75" s="282"/>
      <c r="H75" s="282"/>
      <c r="I75" s="282"/>
      <c r="J75" s="282"/>
      <c r="K75" s="24"/>
      <c r="L75" s="282"/>
      <c r="M75" s="282"/>
      <c r="N75" s="282"/>
      <c r="O75" s="282"/>
      <c r="P75" s="282"/>
      <c r="Q75" s="282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281"/>
      <c r="AE75" s="20"/>
      <c r="AG75" s="20"/>
    </row>
    <row r="76" spans="1:34" s="3" customFormat="1" ht="23.25" customHeight="1">
      <c r="A76" s="562" t="s">
        <v>40</v>
      </c>
      <c r="B76" s="562">
        <v>244</v>
      </c>
      <c r="C76" s="693">
        <f>C78+C79</f>
        <v>26922.86</v>
      </c>
      <c r="D76" s="623">
        <f>14485.29+26213.58+41935.93+49029.09+35670.42+54167.57-12376.86+36010.86+38634.64+46967.36</f>
        <v>330737.88</v>
      </c>
      <c r="E76" s="282"/>
      <c r="F76" s="282">
        <f t="shared" ref="F76:P76" si="31">SUM(F80:F83)</f>
        <v>135871.14000000001</v>
      </c>
      <c r="G76" s="282">
        <f t="shared" si="31"/>
        <v>83409.58</v>
      </c>
      <c r="H76" s="282">
        <f t="shared" si="31"/>
        <v>84710.56</v>
      </c>
      <c r="I76" s="282">
        <f t="shared" si="31"/>
        <v>0</v>
      </c>
      <c r="J76" s="282">
        <f t="shared" si="31"/>
        <v>0</v>
      </c>
      <c r="K76" s="282">
        <f t="shared" si="31"/>
        <v>0</v>
      </c>
      <c r="L76" s="282">
        <f t="shared" si="31"/>
        <v>0</v>
      </c>
      <c r="M76" s="282">
        <f t="shared" si="31"/>
        <v>0</v>
      </c>
      <c r="N76" s="282">
        <f t="shared" si="31"/>
        <v>0</v>
      </c>
      <c r="O76" s="282">
        <f t="shared" si="31"/>
        <v>0</v>
      </c>
      <c r="P76" s="282">
        <f t="shared" si="31"/>
        <v>0</v>
      </c>
      <c r="Q76" s="279">
        <f t="shared" ref="Q76:Q84" si="32">SUM(R76:AC76)</f>
        <v>303991.28000000003</v>
      </c>
      <c r="R76" s="141"/>
      <c r="S76" s="395">
        <f t="shared" ref="S76:AC76" si="33">SUM(S80:S83)</f>
        <v>135871.14000000001</v>
      </c>
      <c r="T76" s="395">
        <f t="shared" si="33"/>
        <v>83409.58</v>
      </c>
      <c r="U76" s="395">
        <f t="shared" si="33"/>
        <v>84710.56</v>
      </c>
      <c r="V76" s="395">
        <f t="shared" si="33"/>
        <v>0</v>
      </c>
      <c r="W76" s="395">
        <f t="shared" si="33"/>
        <v>0</v>
      </c>
      <c r="X76" s="395">
        <f t="shared" si="33"/>
        <v>0</v>
      </c>
      <c r="Y76" s="395">
        <f t="shared" si="33"/>
        <v>0</v>
      </c>
      <c r="Z76" s="395">
        <f t="shared" si="33"/>
        <v>0</v>
      </c>
      <c r="AA76" s="395">
        <f t="shared" si="33"/>
        <v>0</v>
      </c>
      <c r="AB76" s="395">
        <f t="shared" si="33"/>
        <v>0</v>
      </c>
      <c r="AC76" s="395">
        <f t="shared" si="33"/>
        <v>0</v>
      </c>
      <c r="AD76" s="281">
        <f>C76+D76-Q76</f>
        <v>53669.459999999963</v>
      </c>
      <c r="AE76" s="66">
        <f>D77+D81</f>
        <v>0</v>
      </c>
      <c r="AG76" s="66"/>
    </row>
    <row r="77" spans="1:34" s="3" customFormat="1" ht="23.25" customHeight="1">
      <c r="A77" s="669" t="s">
        <v>217</v>
      </c>
      <c r="B77" s="669"/>
      <c r="C77" s="670">
        <v>0</v>
      </c>
      <c r="D77" s="614">
        <f>D76-D78-D79</f>
        <v>0</v>
      </c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79"/>
      <c r="R77" s="141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  <c r="AD77" s="281"/>
      <c r="AE77" s="66"/>
      <c r="AG77" s="66"/>
    </row>
    <row r="78" spans="1:34" s="3" customFormat="1" ht="23.25" customHeight="1">
      <c r="A78" s="437" t="s">
        <v>184</v>
      </c>
      <c r="B78" s="437"/>
      <c r="C78" s="691">
        <f>36816.88-22381.35</f>
        <v>14435.529999999999</v>
      </c>
      <c r="D78" s="295">
        <f>26213.58+24453.7+26218.94+21684.62+24807.97+20027.1+17655.95+22991.72</f>
        <v>184053.58000000002</v>
      </c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79"/>
      <c r="R78" s="141"/>
      <c r="S78" s="395"/>
      <c r="T78" s="395"/>
      <c r="U78" s="395"/>
      <c r="V78" s="395"/>
      <c r="W78" s="395"/>
      <c r="X78" s="395"/>
      <c r="Y78" s="395"/>
      <c r="Z78" s="395"/>
      <c r="AA78" s="395"/>
      <c r="AB78" s="395"/>
      <c r="AC78" s="395"/>
      <c r="AD78" s="281"/>
      <c r="AE78" s="66"/>
      <c r="AG78" s="66"/>
    </row>
    <row r="79" spans="1:34" s="3" customFormat="1" ht="23.25" customHeight="1">
      <c r="A79" s="50" t="s">
        <v>187</v>
      </c>
      <c r="B79" s="50"/>
      <c r="C79" s="692">
        <f>25342.49-12855.16</f>
        <v>12487.330000000002</v>
      </c>
      <c r="D79" s="295">
        <f>14485.29+17482.23+22810.15+13985.8+16982.74+15983.76+20978.69+23975.64</f>
        <v>146684.29999999999</v>
      </c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79"/>
      <c r="R79" s="141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281"/>
      <c r="AE79" s="66"/>
      <c r="AG79" s="66"/>
    </row>
    <row r="80" spans="1:34" s="3" customFormat="1" ht="22.15" customHeight="1">
      <c r="A80" s="562" t="s">
        <v>40</v>
      </c>
      <c r="B80" s="562">
        <v>247</v>
      </c>
      <c r="C80" s="693">
        <f>C82+C83</f>
        <v>248635.44</v>
      </c>
      <c r="D80" s="623">
        <f>417073.17+47687.62+563355.51+114416.53+459537.75+223590.71+169000.42+97976.22+12376.86+52247.26+56767.23+24752.13+181197.87</f>
        <v>2419979.2799999998</v>
      </c>
      <c r="E80" s="282"/>
      <c r="F80" s="278">
        <f>19828.15+66093.84+26437.54</f>
        <v>112359.53</v>
      </c>
      <c r="G80" s="295">
        <f>18770.69+16303.27+25027.58</f>
        <v>60101.54</v>
      </c>
      <c r="H80" s="278">
        <f>18805.42+25073.89+18886.47</f>
        <v>62765.78</v>
      </c>
      <c r="I80" s="278"/>
      <c r="J80" s="278"/>
      <c r="K80" s="278"/>
      <c r="L80" s="278"/>
      <c r="M80" s="278"/>
      <c r="N80" s="278"/>
      <c r="O80" s="278"/>
      <c r="P80" s="278"/>
      <c r="Q80" s="295">
        <f t="shared" si="32"/>
        <v>235226.85</v>
      </c>
      <c r="R80" s="141"/>
      <c r="S80" s="461">
        <f>19828.15+66093.84+26437.54</f>
        <v>112359.53</v>
      </c>
      <c r="T80" s="461">
        <f>18770.69+16303.27+25027.58</f>
        <v>60101.54</v>
      </c>
      <c r="U80" s="461">
        <f>18805.42+18886.47+25073.89</f>
        <v>62765.78</v>
      </c>
      <c r="V80" s="461"/>
      <c r="W80" s="461"/>
      <c r="X80" s="461"/>
      <c r="Y80" s="461"/>
      <c r="Z80" s="461"/>
      <c r="AA80" s="461"/>
      <c r="AB80" s="461"/>
      <c r="AC80" s="461"/>
      <c r="AD80" s="374">
        <f>D80-Q80</f>
        <v>2184752.4299999997</v>
      </c>
      <c r="AE80" s="66">
        <f>D76+D80</f>
        <v>2750717.1599999997</v>
      </c>
      <c r="AG80" s="66"/>
    </row>
    <row r="81" spans="1:34" s="3" customFormat="1" ht="22.15" customHeight="1">
      <c r="A81" s="669" t="s">
        <v>217</v>
      </c>
      <c r="B81" s="669"/>
      <c r="C81" s="670">
        <v>0</v>
      </c>
      <c r="D81" s="614">
        <f>D80-D82-D83</f>
        <v>0</v>
      </c>
      <c r="E81" s="282"/>
      <c r="F81" s="278"/>
      <c r="G81" s="295"/>
      <c r="H81" s="278"/>
      <c r="I81" s="278"/>
      <c r="J81" s="278"/>
      <c r="K81" s="278"/>
      <c r="L81" s="278"/>
      <c r="M81" s="278"/>
      <c r="N81" s="278"/>
      <c r="O81" s="278"/>
      <c r="P81" s="278"/>
      <c r="Q81" s="295"/>
      <c r="R81" s="141"/>
      <c r="S81" s="461"/>
      <c r="T81" s="461"/>
      <c r="U81" s="461"/>
      <c r="V81" s="461"/>
      <c r="W81" s="461"/>
      <c r="X81" s="461"/>
      <c r="Y81" s="461"/>
      <c r="Z81" s="461"/>
      <c r="AA81" s="461"/>
      <c r="AB81" s="461"/>
      <c r="AC81" s="461"/>
      <c r="AD81" s="374"/>
      <c r="AE81" s="66"/>
      <c r="AG81" s="66"/>
    </row>
    <row r="82" spans="1:34" s="3" customFormat="1" ht="22.15" customHeight="1">
      <c r="A82" s="437" t="s">
        <v>239</v>
      </c>
      <c r="B82" s="437"/>
      <c r="C82" s="438">
        <f>253912.54-66168.74</f>
        <v>187743.8</v>
      </c>
      <c r="D82" s="295">
        <f>341415.66+563355.51+357704.3+140802.87+65642.02+34657.1+2759.11+86943.27</f>
        <v>1593279.84</v>
      </c>
      <c r="E82" s="282"/>
      <c r="F82" s="278">
        <v>15741.54</v>
      </c>
      <c r="G82" s="295">
        <v>14427.96</v>
      </c>
      <c r="H82" s="278">
        <v>13064.7</v>
      </c>
      <c r="I82" s="278"/>
      <c r="J82" s="278"/>
      <c r="K82" s="278"/>
      <c r="L82" s="278"/>
      <c r="M82" s="278"/>
      <c r="N82" s="278"/>
      <c r="O82" s="278"/>
      <c r="P82" s="278"/>
      <c r="Q82" s="295">
        <f t="shared" si="32"/>
        <v>43234.2</v>
      </c>
      <c r="R82" s="141"/>
      <c r="S82" s="461">
        <v>15741.54</v>
      </c>
      <c r="T82" s="461">
        <v>14427.96</v>
      </c>
      <c r="U82" s="461">
        <v>13064.7</v>
      </c>
      <c r="V82" s="461"/>
      <c r="W82" s="461"/>
      <c r="X82" s="461"/>
      <c r="Y82" s="461"/>
      <c r="Z82" s="461"/>
      <c r="AA82" s="461"/>
      <c r="AB82" s="461"/>
      <c r="AC82" s="461"/>
      <c r="AD82" s="374">
        <f>D82-Q82</f>
        <v>1550045.6400000001</v>
      </c>
      <c r="AE82" s="66"/>
      <c r="AG82" s="66"/>
    </row>
    <row r="83" spans="1:34" ht="22.15" customHeight="1">
      <c r="A83" s="437" t="s">
        <v>183</v>
      </c>
      <c r="B83" s="437"/>
      <c r="C83" s="438">
        <v>60891.64</v>
      </c>
      <c r="D83" s="295">
        <f>32633.96+43023.55+47687.62+114416.53+101833.45+82787.84+103358.4+63319.12+12376.86+49488.15+56767.23+24752.13+94254.6</f>
        <v>826699.44</v>
      </c>
      <c r="E83" s="301"/>
      <c r="F83" s="372">
        <v>7770.07</v>
      </c>
      <c r="G83" s="372">
        <v>8880.08</v>
      </c>
      <c r="H83" s="372">
        <v>8880.08</v>
      </c>
      <c r="I83" s="372"/>
      <c r="J83" s="372"/>
      <c r="K83" s="372"/>
      <c r="L83" s="372"/>
      <c r="M83" s="372"/>
      <c r="N83" s="372"/>
      <c r="O83" s="372"/>
      <c r="P83" s="372"/>
      <c r="Q83" s="295">
        <f t="shared" si="32"/>
        <v>25530.230000000003</v>
      </c>
      <c r="R83" s="371"/>
      <c r="S83" s="372">
        <v>7770.07</v>
      </c>
      <c r="T83" s="372">
        <v>8880.08</v>
      </c>
      <c r="U83" s="372">
        <v>8880.08</v>
      </c>
      <c r="V83" s="372"/>
      <c r="W83" s="371"/>
      <c r="X83" s="372"/>
      <c r="Y83" s="372"/>
      <c r="Z83" s="372"/>
      <c r="AA83" s="372"/>
      <c r="AB83" s="372"/>
      <c r="AC83" s="372"/>
      <c r="AD83" s="374">
        <f>D83-Q83</f>
        <v>801169.21</v>
      </c>
    </row>
    <row r="84" spans="1:34" ht="39.75">
      <c r="A84" s="635" t="s">
        <v>41</v>
      </c>
      <c r="B84" s="635">
        <v>244</v>
      </c>
      <c r="C84" s="694">
        <v>0</v>
      </c>
      <c r="D84" s="623">
        <f>14467.54+14467.54+19407.75+49455.08+56000+35612.54+14717.54+21006.08+14716.54+59103.15</f>
        <v>298953.76</v>
      </c>
      <c r="E84" s="282"/>
      <c r="F84" s="282">
        <f t="shared" ref="F84:P84" si="34">SUM(F86:F95)</f>
        <v>66437.899999999994</v>
      </c>
      <c r="G84" s="282">
        <f>SUM(G86:G95)</f>
        <v>-61458.559999999998</v>
      </c>
      <c r="H84" s="282">
        <f t="shared" si="34"/>
        <v>2151.15</v>
      </c>
      <c r="I84" s="282">
        <f t="shared" si="34"/>
        <v>0</v>
      </c>
      <c r="J84" s="282">
        <f t="shared" si="34"/>
        <v>0</v>
      </c>
      <c r="K84" s="282">
        <f t="shared" si="34"/>
        <v>0</v>
      </c>
      <c r="L84" s="24">
        <f t="shared" si="34"/>
        <v>0</v>
      </c>
      <c r="M84" s="282">
        <f t="shared" si="34"/>
        <v>0</v>
      </c>
      <c r="N84" s="282">
        <f>SUM(N86:N95)</f>
        <v>0</v>
      </c>
      <c r="O84" s="282">
        <f t="shared" si="34"/>
        <v>0</v>
      </c>
      <c r="P84" s="282">
        <f t="shared" si="34"/>
        <v>0</v>
      </c>
      <c r="Q84" s="279">
        <f t="shared" si="32"/>
        <v>23158.759999999987</v>
      </c>
      <c r="R84" s="141"/>
      <c r="S84" s="282">
        <f t="shared" ref="S84:AC84" si="35">SUM(S86:S95)</f>
        <v>82466.169999999984</v>
      </c>
      <c r="T84" s="395">
        <f>SUM(T86:T95)</f>
        <v>-61458.559999999998</v>
      </c>
      <c r="U84" s="282">
        <f t="shared" si="35"/>
        <v>2151.15</v>
      </c>
      <c r="V84" s="395">
        <f>SUM(V86:V95)</f>
        <v>0</v>
      </c>
      <c r="W84" s="395">
        <f t="shared" si="35"/>
        <v>0</v>
      </c>
      <c r="X84" s="395">
        <f t="shared" si="35"/>
        <v>0</v>
      </c>
      <c r="Y84" s="395">
        <f t="shared" si="35"/>
        <v>0</v>
      </c>
      <c r="Z84" s="395">
        <f t="shared" si="35"/>
        <v>0</v>
      </c>
      <c r="AA84" s="282">
        <f t="shared" si="35"/>
        <v>0</v>
      </c>
      <c r="AB84" s="282">
        <f t="shared" si="35"/>
        <v>0</v>
      </c>
      <c r="AC84" s="282">
        <f t="shared" si="35"/>
        <v>0</v>
      </c>
      <c r="AD84" s="281">
        <f>C84+D84-Q84</f>
        <v>275795</v>
      </c>
      <c r="AE84" s="20"/>
      <c r="AF84" s="20"/>
    </row>
    <row r="85" spans="1:34" ht="24" customHeight="1">
      <c r="A85" s="630" t="s">
        <v>217</v>
      </c>
      <c r="B85" s="630"/>
      <c r="C85" s="609"/>
      <c r="D85" s="614">
        <f>D84-D88-D89-D91-D92-D93-D87-D90-D94-D95</f>
        <v>0</v>
      </c>
      <c r="E85" s="282"/>
      <c r="F85" s="282"/>
      <c r="G85" s="282"/>
      <c r="H85" s="282"/>
      <c r="I85" s="282"/>
      <c r="J85" s="282"/>
      <c r="K85" s="282"/>
      <c r="L85" s="24"/>
      <c r="M85" s="282"/>
      <c r="N85" s="282"/>
      <c r="O85" s="282"/>
      <c r="P85" s="282"/>
      <c r="Q85" s="279"/>
      <c r="R85" s="141"/>
      <c r="S85" s="282"/>
      <c r="T85" s="395"/>
      <c r="U85" s="282"/>
      <c r="V85" s="395"/>
      <c r="W85" s="395"/>
      <c r="X85" s="395"/>
      <c r="Y85" s="395"/>
      <c r="Z85" s="395"/>
      <c r="AA85" s="282"/>
      <c r="AB85" s="282"/>
      <c r="AC85" s="282"/>
      <c r="AD85" s="281"/>
      <c r="AE85" s="20"/>
      <c r="AF85" s="20"/>
    </row>
    <row r="86" spans="1:34" ht="23.45" hidden="1" customHeight="1">
      <c r="A86" s="50" t="s">
        <v>42</v>
      </c>
      <c r="B86" s="50"/>
      <c r="C86" s="52" t="s">
        <v>33</v>
      </c>
      <c r="D86" s="295"/>
      <c r="E86" s="300"/>
      <c r="F86" s="374"/>
      <c r="G86" s="300"/>
      <c r="H86" s="300"/>
      <c r="I86" s="300"/>
      <c r="J86" s="300"/>
      <c r="K86" s="67"/>
      <c r="L86" s="300"/>
      <c r="M86" s="300"/>
      <c r="N86" s="300"/>
      <c r="O86" s="374"/>
      <c r="P86" s="374"/>
      <c r="Q86" s="373">
        <f t="shared" ref="Q86:Q100" si="36">SUM(R86:AC86)</f>
        <v>0</v>
      </c>
      <c r="R86" s="67"/>
      <c r="S86" s="374"/>
      <c r="T86" s="67"/>
      <c r="U86" s="67"/>
      <c r="V86" s="67"/>
      <c r="W86" s="67"/>
      <c r="X86" s="67"/>
      <c r="Y86" s="67"/>
      <c r="Z86" s="300"/>
      <c r="AA86" s="67"/>
      <c r="AB86" s="374"/>
      <c r="AC86" s="67"/>
      <c r="AD86" s="374">
        <f t="shared" ref="AD86:AD91" si="37">D86-Q86</f>
        <v>0</v>
      </c>
      <c r="AH86" s="20"/>
    </row>
    <row r="87" spans="1:34" ht="22.15" customHeight="1">
      <c r="A87" s="50" t="s">
        <v>248</v>
      </c>
      <c r="B87" s="50"/>
      <c r="C87" s="52" t="s">
        <v>33</v>
      </c>
      <c r="D87" s="688">
        <v>7200</v>
      </c>
      <c r="E87" s="300"/>
      <c r="F87" s="300"/>
      <c r="G87" s="300"/>
      <c r="H87" s="300"/>
      <c r="I87" s="300"/>
      <c r="J87" s="300"/>
      <c r="K87" s="67"/>
      <c r="L87" s="300"/>
      <c r="M87" s="300"/>
      <c r="N87" s="374"/>
      <c r="O87" s="374"/>
      <c r="P87" s="374"/>
      <c r="Q87" s="373">
        <f t="shared" si="36"/>
        <v>0</v>
      </c>
      <c r="R87" s="67"/>
      <c r="S87" s="67"/>
      <c r="T87" s="67"/>
      <c r="U87" s="67"/>
      <c r="V87" s="67"/>
      <c r="W87" s="67"/>
      <c r="X87" s="67"/>
      <c r="Y87" s="67"/>
      <c r="Z87" s="300"/>
      <c r="AA87" s="300"/>
      <c r="AB87" s="374"/>
      <c r="AC87" s="374"/>
      <c r="AD87" s="374">
        <f t="shared" si="37"/>
        <v>7200</v>
      </c>
      <c r="AH87" s="20"/>
    </row>
    <row r="88" spans="1:34" ht="22.15" customHeight="1">
      <c r="A88" s="50" t="s">
        <v>45</v>
      </c>
      <c r="B88" s="50"/>
      <c r="C88" s="52"/>
      <c r="D88" s="688">
        <f>2437.54+2437.54+7377.75+8725.08+2437.54+2687.54+8976.08+2686.54+7377.75</f>
        <v>45143.360000000001</v>
      </c>
      <c r="E88" s="301"/>
      <c r="F88" s="372">
        <v>903.15</v>
      </c>
      <c r="G88" s="372">
        <v>1580.19</v>
      </c>
      <c r="H88" s="372">
        <v>903.15</v>
      </c>
      <c r="I88" s="372"/>
      <c r="J88" s="372"/>
      <c r="K88" s="372"/>
      <c r="L88" s="372"/>
      <c r="M88" s="372"/>
      <c r="N88" s="372"/>
      <c r="O88" s="372"/>
      <c r="P88" s="372"/>
      <c r="Q88" s="373">
        <f t="shared" si="36"/>
        <v>3386.4900000000002</v>
      </c>
      <c r="R88" s="371"/>
      <c r="S88" s="371">
        <v>903.15</v>
      </c>
      <c r="T88" s="372">
        <v>1580.19</v>
      </c>
      <c r="U88" s="372">
        <v>903.15</v>
      </c>
      <c r="V88" s="372"/>
      <c r="W88" s="371"/>
      <c r="X88" s="371"/>
      <c r="Y88" s="372"/>
      <c r="Z88" s="372"/>
      <c r="AA88" s="372"/>
      <c r="AB88" s="372"/>
      <c r="AC88" s="372"/>
      <c r="AD88" s="472">
        <f t="shared" si="37"/>
        <v>41756.870000000003</v>
      </c>
    </row>
    <row r="89" spans="1:34" ht="22.15" customHeight="1">
      <c r="A89" s="50" t="s">
        <v>46</v>
      </c>
      <c r="B89" s="50"/>
      <c r="C89" s="52"/>
      <c r="D89" s="295">
        <f>9600+9600+9600+9600+9600+9600+9600+9600+9600</f>
        <v>86400</v>
      </c>
      <c r="E89" s="301"/>
      <c r="F89" s="372">
        <v>833</v>
      </c>
      <c r="G89" s="372">
        <v>833</v>
      </c>
      <c r="H89" s="372"/>
      <c r="I89" s="372"/>
      <c r="J89" s="372"/>
      <c r="K89" s="371"/>
      <c r="L89" s="372"/>
      <c r="M89" s="372"/>
      <c r="N89" s="372"/>
      <c r="O89" s="372"/>
      <c r="P89" s="372"/>
      <c r="Q89" s="373">
        <f t="shared" si="36"/>
        <v>1666</v>
      </c>
      <c r="R89" s="371"/>
      <c r="S89" s="371">
        <v>833</v>
      </c>
      <c r="T89" s="372">
        <v>833</v>
      </c>
      <c r="U89" s="372"/>
      <c r="V89" s="372"/>
      <c r="W89" s="372"/>
      <c r="X89" s="371"/>
      <c r="Y89" s="372"/>
      <c r="Z89" s="372"/>
      <c r="AA89" s="371"/>
      <c r="AB89" s="372"/>
      <c r="AC89" s="372"/>
      <c r="AD89" s="472">
        <f t="shared" si="37"/>
        <v>84734</v>
      </c>
    </row>
    <row r="90" spans="1:34" ht="22.15" customHeight="1">
      <c r="A90" s="50" t="s">
        <v>181</v>
      </c>
      <c r="B90" s="50"/>
      <c r="C90" s="52" t="s">
        <v>33</v>
      </c>
      <c r="D90" s="295">
        <f>56000</f>
        <v>56000</v>
      </c>
      <c r="E90" s="300"/>
      <c r="F90" s="300"/>
      <c r="G90" s="300"/>
      <c r="H90" s="374"/>
      <c r="I90" s="374"/>
      <c r="J90" s="300"/>
      <c r="K90" s="239"/>
      <c r="L90" s="374"/>
      <c r="M90" s="374"/>
      <c r="N90" s="374"/>
      <c r="O90" s="374"/>
      <c r="P90" s="374"/>
      <c r="Q90" s="373">
        <f t="shared" si="36"/>
        <v>0</v>
      </c>
      <c r="R90" s="239"/>
      <c r="S90" s="239"/>
      <c r="T90" s="239"/>
      <c r="U90" s="239"/>
      <c r="V90" s="374"/>
      <c r="W90" s="239"/>
      <c r="X90" s="239"/>
      <c r="Y90" s="67"/>
      <c r="Z90" s="300"/>
      <c r="AA90" s="300"/>
      <c r="AB90" s="374"/>
      <c r="AC90" s="374"/>
      <c r="AD90" s="374">
        <f t="shared" si="37"/>
        <v>56000</v>
      </c>
    </row>
    <row r="91" spans="1:34" ht="23.45" customHeight="1">
      <c r="A91" s="50" t="s">
        <v>242</v>
      </c>
      <c r="B91" s="50"/>
      <c r="C91" s="52" t="s">
        <v>33</v>
      </c>
      <c r="D91" s="295">
        <f>1980+1980+1980+1980+1980+1980+1980+1980+1980</f>
        <v>17820</v>
      </c>
      <c r="E91" s="300"/>
      <c r="F91" s="374">
        <v>415</v>
      </c>
      <c r="G91" s="374">
        <v>415</v>
      </c>
      <c r="H91" s="374">
        <v>415</v>
      </c>
      <c r="I91" s="300"/>
      <c r="J91" s="374"/>
      <c r="K91" s="239"/>
      <c r="L91" s="374"/>
      <c r="M91" s="300"/>
      <c r="N91" s="374"/>
      <c r="O91" s="374"/>
      <c r="P91" s="374"/>
      <c r="Q91" s="295">
        <f t="shared" si="36"/>
        <v>1245</v>
      </c>
      <c r="R91" s="67"/>
      <c r="S91" s="239">
        <v>415</v>
      </c>
      <c r="T91" s="239">
        <v>415</v>
      </c>
      <c r="U91" s="374">
        <v>415</v>
      </c>
      <c r="V91" s="239"/>
      <c r="W91" s="239"/>
      <c r="X91" s="67"/>
      <c r="Y91" s="239"/>
      <c r="Z91" s="239"/>
      <c r="AA91" s="67"/>
      <c r="AB91" s="374"/>
      <c r="AC91" s="374"/>
      <c r="AD91" s="472">
        <f t="shared" si="37"/>
        <v>16575</v>
      </c>
    </row>
    <row r="92" spans="1:34" ht="68.25" customHeight="1">
      <c r="A92" s="50" t="s">
        <v>247</v>
      </c>
      <c r="B92" s="50"/>
      <c r="C92" s="301">
        <v>0</v>
      </c>
      <c r="D92" s="295">
        <f>450+450+450+450+450+450+450+450+450</f>
        <v>4050</v>
      </c>
      <c r="E92" s="300"/>
      <c r="F92" s="374">
        <v>64286.75</v>
      </c>
      <c r="G92" s="374">
        <v>-64286.75</v>
      </c>
      <c r="H92" s="300"/>
      <c r="I92" s="300"/>
      <c r="J92" s="300"/>
      <c r="K92" s="67"/>
      <c r="L92" s="300"/>
      <c r="M92" s="300"/>
      <c r="N92" s="300"/>
      <c r="O92" s="300"/>
      <c r="P92" s="300"/>
      <c r="Q92" s="295">
        <f>SUM(R92:AC92)</f>
        <v>16028.26999999999</v>
      </c>
      <c r="R92" s="67"/>
      <c r="S92" s="239">
        <f>37638.02+42677</f>
        <v>80315.01999999999</v>
      </c>
      <c r="T92" s="239">
        <v>-64286.75</v>
      </c>
      <c r="U92" s="67"/>
      <c r="V92" s="67"/>
      <c r="W92" s="67"/>
      <c r="X92" s="67"/>
      <c r="Y92" s="67"/>
      <c r="Z92" s="67"/>
      <c r="AA92" s="67"/>
      <c r="AB92" s="374"/>
      <c r="AC92" s="67"/>
      <c r="AD92" s="374">
        <f>C92+D92-Q92</f>
        <v>-11978.26999999999</v>
      </c>
    </row>
    <row r="93" spans="1:34" ht="21.6" customHeight="1">
      <c r="A93" s="50" t="s">
        <v>49</v>
      </c>
      <c r="B93" s="50"/>
      <c r="C93" s="372"/>
      <c r="D93" s="295">
        <v>21500</v>
      </c>
      <c r="E93" s="300"/>
      <c r="F93" s="300"/>
      <c r="G93" s="300"/>
      <c r="H93" s="374">
        <v>833</v>
      </c>
      <c r="I93" s="300"/>
      <c r="J93" s="300"/>
      <c r="K93" s="374"/>
      <c r="L93" s="300"/>
      <c r="M93" s="374"/>
      <c r="N93" s="374"/>
      <c r="O93" s="374"/>
      <c r="P93" s="300"/>
      <c r="Q93" s="295">
        <f t="shared" si="36"/>
        <v>833</v>
      </c>
      <c r="R93" s="67"/>
      <c r="S93" s="67"/>
      <c r="T93" s="67"/>
      <c r="U93" s="239">
        <v>833</v>
      </c>
      <c r="V93" s="67"/>
      <c r="W93" s="67"/>
      <c r="X93" s="374"/>
      <c r="Y93" s="67"/>
      <c r="Z93" s="67"/>
      <c r="AA93" s="67"/>
      <c r="AB93" s="374"/>
      <c r="AC93" s="67"/>
      <c r="AD93" s="374">
        <f>C93+D93-Q93</f>
        <v>20667</v>
      </c>
    </row>
    <row r="94" spans="1:34" ht="21.6" customHeight="1">
      <c r="A94" s="50" t="s">
        <v>251</v>
      </c>
      <c r="B94" s="50"/>
      <c r="C94" s="466"/>
      <c r="D94" s="688">
        <v>21145</v>
      </c>
      <c r="E94" s="300"/>
      <c r="F94" s="300"/>
      <c r="G94" s="300"/>
      <c r="H94" s="300"/>
      <c r="I94" s="300"/>
      <c r="J94" s="300"/>
      <c r="K94" s="67"/>
      <c r="L94" s="300"/>
      <c r="M94" s="300"/>
      <c r="N94" s="374"/>
      <c r="O94" s="300"/>
      <c r="P94" s="300"/>
      <c r="Q94" s="295">
        <f t="shared" si="36"/>
        <v>0</v>
      </c>
      <c r="R94" s="67"/>
      <c r="S94" s="67"/>
      <c r="T94" s="67"/>
      <c r="U94" s="67"/>
      <c r="V94" s="67"/>
      <c r="W94" s="67"/>
      <c r="X94" s="67"/>
      <c r="Y94" s="67"/>
      <c r="Z94" s="67"/>
      <c r="AA94" s="374"/>
      <c r="AB94" s="67"/>
      <c r="AC94" s="67"/>
      <c r="AD94" s="374">
        <f>D94-Q94</f>
        <v>21145</v>
      </c>
    </row>
    <row r="95" spans="1:34" ht="21.6" customHeight="1">
      <c r="A95" s="50" t="s">
        <v>164</v>
      </c>
      <c r="B95" s="50"/>
      <c r="C95" s="374"/>
      <c r="D95" s="295">
        <v>39695.4</v>
      </c>
      <c r="E95" s="300"/>
      <c r="F95" s="300"/>
      <c r="G95" s="300"/>
      <c r="H95" s="300"/>
      <c r="I95" s="300"/>
      <c r="J95" s="374"/>
      <c r="K95" s="67"/>
      <c r="L95" s="300"/>
      <c r="M95" s="300"/>
      <c r="N95" s="300"/>
      <c r="O95" s="374"/>
      <c r="P95" s="374"/>
      <c r="Q95" s="295">
        <f t="shared" si="36"/>
        <v>0</v>
      </c>
      <c r="R95" s="67"/>
      <c r="S95" s="67"/>
      <c r="T95" s="67"/>
      <c r="U95" s="67"/>
      <c r="V95" s="67"/>
      <c r="W95" s="239"/>
      <c r="X95" s="67"/>
      <c r="Y95" s="67"/>
      <c r="Z95" s="67"/>
      <c r="AA95" s="67"/>
      <c r="AB95" s="67"/>
      <c r="AC95" s="374"/>
      <c r="AD95" s="374">
        <f>C95+D95-Q95</f>
        <v>39695.4</v>
      </c>
    </row>
    <row r="96" spans="1:34" ht="39.75" customHeight="1">
      <c r="A96" s="635" t="s">
        <v>50</v>
      </c>
      <c r="B96" s="635">
        <v>244</v>
      </c>
      <c r="C96" s="694">
        <v>0</v>
      </c>
      <c r="D96" s="623">
        <f>738174.96+667441.44+740403.36+715305.6+365245.92+353900.88+428676.6+365885.36+327203.28</f>
        <v>4702237.4000000004</v>
      </c>
      <c r="E96" s="282">
        <f>SUM(E98:E103)</f>
        <v>0</v>
      </c>
      <c r="F96" s="282">
        <f>SUM(F98:F103)</f>
        <v>0</v>
      </c>
      <c r="G96" s="282">
        <f>SUM(G98:G103)</f>
        <v>7590</v>
      </c>
      <c r="H96" s="282">
        <f t="shared" ref="H96:P96" si="38">SUM(H98:H103)</f>
        <v>0</v>
      </c>
      <c r="I96" s="282">
        <f t="shared" si="38"/>
        <v>0</v>
      </c>
      <c r="J96" s="282">
        <f t="shared" si="38"/>
        <v>0</v>
      </c>
      <c r="K96" s="282">
        <f t="shared" si="38"/>
        <v>0</v>
      </c>
      <c r="L96" s="282">
        <f>SUM(L98:L103)</f>
        <v>0</v>
      </c>
      <c r="M96" s="282">
        <f t="shared" si="38"/>
        <v>0</v>
      </c>
      <c r="N96" s="282">
        <f t="shared" si="38"/>
        <v>0</v>
      </c>
      <c r="O96" s="282">
        <f>SUM(O98:O103)</f>
        <v>0</v>
      </c>
      <c r="P96" s="282">
        <f t="shared" si="38"/>
        <v>0</v>
      </c>
      <c r="Q96" s="279">
        <f t="shared" si="36"/>
        <v>7590</v>
      </c>
      <c r="R96" s="65">
        <f>SUM(R98:R103)</f>
        <v>0</v>
      </c>
      <c r="S96" s="403">
        <f>SUM(S98:S103)</f>
        <v>0</v>
      </c>
      <c r="T96" s="403">
        <f>SUM(T98:T103)</f>
        <v>7590</v>
      </c>
      <c r="U96" s="403">
        <f t="shared" ref="U96:AC96" si="39">SUM(U98:U103)</f>
        <v>0</v>
      </c>
      <c r="V96" s="403">
        <f t="shared" si="39"/>
        <v>0</v>
      </c>
      <c r="W96" s="403">
        <f t="shared" si="39"/>
        <v>0</v>
      </c>
      <c r="X96" s="369">
        <f t="shared" si="39"/>
        <v>0</v>
      </c>
      <c r="Y96" s="403">
        <f t="shared" si="39"/>
        <v>0</v>
      </c>
      <c r="Z96" s="382">
        <f t="shared" si="39"/>
        <v>0</v>
      </c>
      <c r="AA96" s="403">
        <f t="shared" si="39"/>
        <v>0</v>
      </c>
      <c r="AB96" s="369">
        <f>SUM(AB98:AB103)</f>
        <v>0</v>
      </c>
      <c r="AC96" s="65">
        <f t="shared" si="39"/>
        <v>0</v>
      </c>
      <c r="AD96" s="282">
        <f>C96+D96-Q96</f>
        <v>4694647.4000000004</v>
      </c>
      <c r="AF96" s="20"/>
    </row>
    <row r="97" spans="1:33" ht="28.5" customHeight="1">
      <c r="A97" s="630" t="s">
        <v>217</v>
      </c>
      <c r="B97" s="630"/>
      <c r="C97" s="609">
        <v>0</v>
      </c>
      <c r="D97" s="614">
        <f>D96-D98-D99-D100-D101</f>
        <v>4.1472958400845528E-10</v>
      </c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79"/>
      <c r="R97" s="65"/>
      <c r="S97" s="403"/>
      <c r="T97" s="403"/>
      <c r="U97" s="403"/>
      <c r="V97" s="403"/>
      <c r="W97" s="403"/>
      <c r="X97" s="369"/>
      <c r="Y97" s="403"/>
      <c r="Z97" s="382"/>
      <c r="AA97" s="403"/>
      <c r="AB97" s="369"/>
      <c r="AC97" s="65"/>
      <c r="AD97" s="282"/>
      <c r="AF97" s="20"/>
    </row>
    <row r="98" spans="1:33" ht="21.6" customHeight="1">
      <c r="A98" s="50" t="s">
        <v>51</v>
      </c>
      <c r="B98" s="50"/>
      <c r="C98" s="282">
        <v>0</v>
      </c>
      <c r="D98" s="295">
        <v>900</v>
      </c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95">
        <f>SUM(R98:AC98)</f>
        <v>0</v>
      </c>
      <c r="R98" s="53"/>
      <c r="S98" s="53"/>
      <c r="T98" s="372"/>
      <c r="U98" s="53"/>
      <c r="V98" s="372"/>
      <c r="W98" s="372"/>
      <c r="X98" s="53"/>
      <c r="Y98" s="372"/>
      <c r="Z98" s="53"/>
      <c r="AA98" s="53"/>
      <c r="AB98" s="372"/>
      <c r="AC98" s="53"/>
      <c r="AD98" s="54" t="s">
        <v>33</v>
      </c>
    </row>
    <row r="99" spans="1:33" ht="22.15" customHeight="1">
      <c r="A99" s="50" t="s">
        <v>52</v>
      </c>
      <c r="B99" s="50"/>
      <c r="C99" s="282">
        <v>0</v>
      </c>
      <c r="D99" s="295">
        <v>63165</v>
      </c>
      <c r="E99" s="278"/>
      <c r="F99" s="278"/>
      <c r="G99" s="278">
        <v>7590</v>
      </c>
      <c r="H99" s="278"/>
      <c r="I99" s="278"/>
      <c r="J99" s="278"/>
      <c r="K99" s="23"/>
      <c r="L99" s="278"/>
      <c r="M99" s="278"/>
      <c r="N99" s="278"/>
      <c r="O99" s="278"/>
      <c r="P99" s="278"/>
      <c r="Q99" s="295">
        <f>SUM(R99:AC99)</f>
        <v>7590</v>
      </c>
      <c r="R99" s="53"/>
      <c r="S99" s="53"/>
      <c r="T99" s="372">
        <v>7590</v>
      </c>
      <c r="U99" s="372"/>
      <c r="V99" s="53"/>
      <c r="W99" s="372"/>
      <c r="X99" s="53"/>
      <c r="Y99" s="371"/>
      <c r="Z99" s="53"/>
      <c r="AA99" s="53"/>
      <c r="AB99" s="53"/>
      <c r="AC99" s="53"/>
      <c r="AD99" s="54" t="s">
        <v>33</v>
      </c>
    </row>
    <row r="100" spans="1:33" ht="28.9" customHeight="1">
      <c r="A100" s="50" t="s">
        <v>243</v>
      </c>
      <c r="B100" s="50"/>
      <c r="C100" s="282">
        <v>0</v>
      </c>
      <c r="D100" s="295">
        <f>733658.4+662659.2+733658.4+709992+359932.32+348321.6+359932.32+359774.72+321624</f>
        <v>4589552.96</v>
      </c>
      <c r="E100" s="302"/>
      <c r="F100" s="302"/>
      <c r="G100" s="302"/>
      <c r="H100" s="302"/>
      <c r="I100" s="302"/>
      <c r="J100" s="302"/>
      <c r="K100" s="68"/>
      <c r="L100" s="302"/>
      <c r="M100" s="302"/>
      <c r="N100" s="302"/>
      <c r="O100" s="302"/>
      <c r="P100" s="302"/>
      <c r="Q100" s="295">
        <f t="shared" si="36"/>
        <v>0</v>
      </c>
      <c r="R100" s="53"/>
      <c r="S100" s="371"/>
      <c r="T100" s="53"/>
      <c r="U100" s="53"/>
      <c r="V100" s="372"/>
      <c r="W100" s="372"/>
      <c r="X100" s="53"/>
      <c r="Y100" s="371"/>
      <c r="Z100" s="53"/>
      <c r="AA100" s="53"/>
      <c r="AB100" s="53"/>
      <c r="AC100" s="53"/>
      <c r="AD100" s="54" t="s">
        <v>33</v>
      </c>
    </row>
    <row r="101" spans="1:33" ht="20.25" customHeight="1">
      <c r="A101" s="50" t="s">
        <v>54</v>
      </c>
      <c r="B101" s="50"/>
      <c r="C101" s="466">
        <v>0</v>
      </c>
      <c r="D101" s="295">
        <f>4516.56+4782.24+5844.96+5313.6+5313.6+5579.28+5579.28+6110.64+5579.28</f>
        <v>48619.439999999995</v>
      </c>
      <c r="E101" s="302"/>
      <c r="F101" s="302"/>
      <c r="G101" s="302"/>
      <c r="H101" s="302"/>
      <c r="I101" s="302"/>
      <c r="J101" s="302"/>
      <c r="K101" s="68"/>
      <c r="L101" s="302"/>
      <c r="M101" s="302"/>
      <c r="N101" s="302"/>
      <c r="O101" s="302"/>
      <c r="P101" s="302"/>
      <c r="Q101" s="302"/>
      <c r="R101" s="53"/>
      <c r="S101" s="53"/>
      <c r="T101" s="53"/>
      <c r="U101" s="53"/>
      <c r="V101" s="53"/>
      <c r="W101" s="372"/>
      <c r="X101" s="53"/>
      <c r="Y101" s="371"/>
      <c r="Z101" s="53"/>
      <c r="AA101" s="53"/>
      <c r="AB101" s="371"/>
      <c r="AC101" s="53"/>
      <c r="AD101" s="54" t="s">
        <v>33</v>
      </c>
    </row>
    <row r="102" spans="1:33" ht="18.75" hidden="1" customHeight="1">
      <c r="A102" s="50" t="s">
        <v>53</v>
      </c>
      <c r="B102" s="50"/>
      <c r="C102" s="52" t="s">
        <v>33</v>
      </c>
      <c r="D102" s="295">
        <f>SUM(E102:P102)</f>
        <v>0</v>
      </c>
      <c r="E102" s="278"/>
      <c r="F102" s="278"/>
      <c r="G102" s="278"/>
      <c r="H102" s="278"/>
      <c r="I102" s="278"/>
      <c r="J102" s="278"/>
      <c r="K102" s="23"/>
      <c r="L102" s="278"/>
      <c r="M102" s="278"/>
      <c r="N102" s="278"/>
      <c r="O102" s="278"/>
      <c r="P102" s="278"/>
      <c r="Q102" s="295">
        <f>SUM(R102:AC102)</f>
        <v>0</v>
      </c>
      <c r="R102" s="53"/>
      <c r="S102" s="53"/>
      <c r="T102" s="372"/>
      <c r="U102" s="372"/>
      <c r="V102" s="372"/>
      <c r="W102" s="372"/>
      <c r="X102" s="53"/>
      <c r="Y102" s="372"/>
      <c r="Z102" s="53"/>
      <c r="AA102" s="301"/>
      <c r="AB102" s="372"/>
      <c r="AC102" s="374"/>
      <c r="AD102" s="54"/>
    </row>
    <row r="103" spans="1:33" ht="19.899999999999999" hidden="1" customHeight="1">
      <c r="A103" s="50" t="s">
        <v>55</v>
      </c>
      <c r="B103" s="50"/>
      <c r="C103" s="52" t="s">
        <v>33</v>
      </c>
      <c r="D103" s="295">
        <f>SUM(E103:P103)</f>
        <v>0</v>
      </c>
      <c r="E103" s="278"/>
      <c r="F103" s="278"/>
      <c r="G103" s="278"/>
      <c r="H103" s="278"/>
      <c r="I103" s="278"/>
      <c r="J103" s="278"/>
      <c r="K103" s="23"/>
      <c r="L103" s="278"/>
      <c r="M103" s="278"/>
      <c r="N103" s="278"/>
      <c r="O103" s="278"/>
      <c r="P103" s="278"/>
      <c r="Q103" s="295">
        <f>SUM(R103:AC103)</f>
        <v>0</v>
      </c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4" t="s">
        <v>33</v>
      </c>
    </row>
    <row r="104" spans="1:33" ht="20.45" hidden="1" customHeight="1">
      <c r="A104" s="50" t="s">
        <v>56</v>
      </c>
      <c r="B104" s="50"/>
      <c r="C104" s="52" t="s">
        <v>33</v>
      </c>
      <c r="D104" s="278"/>
      <c r="E104" s="278"/>
      <c r="F104" s="278"/>
      <c r="G104" s="278"/>
      <c r="H104" s="278"/>
      <c r="I104" s="278"/>
      <c r="J104" s="278"/>
      <c r="K104" s="23"/>
      <c r="L104" s="278"/>
      <c r="M104" s="278"/>
      <c r="N104" s="278"/>
      <c r="O104" s="278"/>
      <c r="P104" s="278"/>
      <c r="Q104" s="295">
        <f>SUM(R104:AC104)</f>
        <v>0</v>
      </c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4" t="s">
        <v>33</v>
      </c>
    </row>
    <row r="105" spans="1:33" s="35" customFormat="1" ht="22.15" hidden="1" customHeight="1">
      <c r="A105" s="69" t="s">
        <v>38</v>
      </c>
      <c r="B105" s="69"/>
      <c r="C105" s="52" t="s">
        <v>33</v>
      </c>
      <c r="D105" s="303"/>
      <c r="E105" s="303"/>
      <c r="F105" s="303"/>
      <c r="G105" s="303"/>
      <c r="H105" s="303"/>
      <c r="I105" s="303"/>
      <c r="J105" s="303"/>
      <c r="K105" s="56"/>
      <c r="L105" s="303"/>
      <c r="M105" s="303"/>
      <c r="N105" s="303"/>
      <c r="O105" s="303"/>
      <c r="P105" s="303"/>
      <c r="Q105" s="30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4" t="s">
        <v>33</v>
      </c>
      <c r="AE105" s="34"/>
      <c r="AG105" s="34"/>
    </row>
    <row r="106" spans="1:33" ht="19.899999999999999" customHeight="1">
      <c r="A106" s="635" t="s">
        <v>180</v>
      </c>
      <c r="B106" s="635"/>
      <c r="C106" s="563">
        <v>1857.87</v>
      </c>
      <c r="D106" s="623">
        <f>D108</f>
        <v>687505</v>
      </c>
      <c r="E106" s="282"/>
      <c r="F106" s="282"/>
      <c r="G106" s="282">
        <f t="shared" ref="G106:P106" si="40">SUM(G108:G108)</f>
        <v>294506</v>
      </c>
      <c r="H106" s="282">
        <f t="shared" si="40"/>
        <v>1097</v>
      </c>
      <c r="I106" s="282">
        <f t="shared" si="40"/>
        <v>0</v>
      </c>
      <c r="J106" s="282">
        <f t="shared" si="40"/>
        <v>0</v>
      </c>
      <c r="K106" s="282">
        <f t="shared" si="40"/>
        <v>0</v>
      </c>
      <c r="L106" s="282">
        <f t="shared" si="40"/>
        <v>0</v>
      </c>
      <c r="M106" s="282">
        <f t="shared" si="40"/>
        <v>0</v>
      </c>
      <c r="N106" s="282">
        <f t="shared" si="40"/>
        <v>0</v>
      </c>
      <c r="O106" s="282">
        <f t="shared" si="40"/>
        <v>0</v>
      </c>
      <c r="P106" s="282">
        <f t="shared" si="40"/>
        <v>0</v>
      </c>
      <c r="Q106" s="279">
        <f>SUM(R106:AC106)</f>
        <v>295603</v>
      </c>
      <c r="R106" s="24"/>
      <c r="S106" s="24"/>
      <c r="T106" s="282">
        <f t="shared" ref="T106:AC106" si="41">SUM(T108:T108)</f>
        <v>294506</v>
      </c>
      <c r="U106" s="282">
        <f t="shared" si="41"/>
        <v>1097</v>
      </c>
      <c r="V106" s="282">
        <f t="shared" si="41"/>
        <v>0</v>
      </c>
      <c r="W106" s="282">
        <f t="shared" si="41"/>
        <v>0</v>
      </c>
      <c r="X106" s="282">
        <f t="shared" si="41"/>
        <v>0</v>
      </c>
      <c r="Y106" s="282">
        <f t="shared" si="41"/>
        <v>0</v>
      </c>
      <c r="Z106" s="282">
        <f t="shared" si="41"/>
        <v>0</v>
      </c>
      <c r="AA106" s="282">
        <f t="shared" si="41"/>
        <v>0</v>
      </c>
      <c r="AB106" s="282">
        <f t="shared" si="41"/>
        <v>0</v>
      </c>
      <c r="AC106" s="282">
        <f t="shared" si="41"/>
        <v>0</v>
      </c>
      <c r="AD106" s="282">
        <f>C106+D106-Q106</f>
        <v>393759.87</v>
      </c>
    </row>
    <row r="107" spans="1:33" ht="30" hidden="1" customHeight="1">
      <c r="A107" s="50" t="s">
        <v>58</v>
      </c>
      <c r="B107" s="50"/>
      <c r="C107" s="52" t="s">
        <v>33</v>
      </c>
      <c r="D107" s="304"/>
      <c r="E107" s="304"/>
      <c r="F107" s="304"/>
      <c r="G107" s="304"/>
      <c r="H107" s="304"/>
      <c r="I107" s="304"/>
      <c r="J107" s="304"/>
      <c r="K107" s="70"/>
      <c r="L107" s="304"/>
      <c r="M107" s="304"/>
      <c r="N107" s="304"/>
      <c r="O107" s="304"/>
      <c r="P107" s="304"/>
      <c r="Q107" s="304"/>
      <c r="R107" s="53"/>
      <c r="S107" s="53"/>
      <c r="T107" s="53"/>
      <c r="U107" s="53"/>
      <c r="V107" s="53"/>
      <c r="W107" s="53"/>
      <c r="X107" s="53"/>
      <c r="Y107" s="53"/>
      <c r="Z107" s="301"/>
      <c r="AA107" s="53"/>
      <c r="AB107" s="53"/>
      <c r="AC107" s="53"/>
      <c r="AD107" s="54" t="s">
        <v>33</v>
      </c>
    </row>
    <row r="108" spans="1:33" ht="24" customHeight="1">
      <c r="A108" s="50" t="s">
        <v>59</v>
      </c>
      <c r="B108" s="50">
        <v>851</v>
      </c>
      <c r="C108" s="52" t="s">
        <v>33</v>
      </c>
      <c r="D108" s="295">
        <f>980+229323+1322+227938+227942</f>
        <v>687505</v>
      </c>
      <c r="E108" s="278"/>
      <c r="F108" s="278"/>
      <c r="G108" s="278">
        <f>293413+1093</f>
        <v>294506</v>
      </c>
      <c r="H108" s="278">
        <v>1097</v>
      </c>
      <c r="I108" s="278"/>
      <c r="J108" s="278"/>
      <c r="K108" s="23"/>
      <c r="L108" s="278"/>
      <c r="M108" s="278"/>
      <c r="N108" s="278"/>
      <c r="O108" s="278"/>
      <c r="P108" s="278"/>
      <c r="Q108" s="295">
        <f>SUM(R108:AC108)</f>
        <v>295603</v>
      </c>
      <c r="R108" s="53"/>
      <c r="S108" s="53"/>
      <c r="T108" s="374">
        <f>293413+1093</f>
        <v>294506</v>
      </c>
      <c r="U108" s="374">
        <v>1097</v>
      </c>
      <c r="V108" s="53"/>
      <c r="W108" s="372"/>
      <c r="X108" s="371"/>
      <c r="Y108" s="53"/>
      <c r="Z108" s="374"/>
      <c r="AA108" s="371"/>
      <c r="AB108" s="53"/>
      <c r="AC108" s="372"/>
      <c r="AD108" s="54" t="s">
        <v>33</v>
      </c>
    </row>
    <row r="109" spans="1:33" ht="56.25" customHeight="1">
      <c r="A109" s="635" t="s">
        <v>245</v>
      </c>
      <c r="B109" s="635">
        <v>264</v>
      </c>
      <c r="C109" s="671">
        <f>C110</f>
        <v>101405.25</v>
      </c>
      <c r="D109" s="564">
        <v>0</v>
      </c>
      <c r="E109" s="305"/>
      <c r="F109" s="305"/>
      <c r="G109" s="305"/>
      <c r="H109" s="305"/>
      <c r="I109" s="305"/>
      <c r="J109" s="305"/>
      <c r="K109" s="347"/>
      <c r="L109" s="305"/>
      <c r="M109" s="305"/>
      <c r="N109" s="305"/>
      <c r="O109" s="305"/>
      <c r="P109" s="305"/>
      <c r="Q109" s="279">
        <f>SUM(R109:AC109)</f>
        <v>0</v>
      </c>
      <c r="R109" s="388"/>
      <c r="S109" s="54"/>
      <c r="T109" s="91"/>
      <c r="U109" s="282"/>
      <c r="V109" s="419"/>
      <c r="W109" s="54"/>
      <c r="X109" s="54"/>
      <c r="Y109" s="54"/>
      <c r="Z109" s="54"/>
      <c r="AA109" s="54"/>
      <c r="AB109" s="54"/>
      <c r="AC109" s="54"/>
      <c r="AD109" s="282">
        <f>C109+D109-Q109</f>
        <v>101405.25</v>
      </c>
    </row>
    <row r="110" spans="1:33" ht="39.75" customHeight="1">
      <c r="A110" s="700" t="s">
        <v>244</v>
      </c>
      <c r="B110" s="697"/>
      <c r="C110" s="698">
        <v>101405.25</v>
      </c>
      <c r="D110" s="699">
        <v>0</v>
      </c>
      <c r="E110" s="305"/>
      <c r="F110" s="305"/>
      <c r="G110" s="305"/>
      <c r="H110" s="305"/>
      <c r="I110" s="305"/>
      <c r="J110" s="305"/>
      <c r="K110" s="347"/>
      <c r="L110" s="305"/>
      <c r="M110" s="305"/>
      <c r="N110" s="305"/>
      <c r="O110" s="305"/>
      <c r="P110" s="305"/>
      <c r="Q110" s="279"/>
      <c r="R110" s="388"/>
      <c r="S110" s="54"/>
      <c r="T110" s="91"/>
      <c r="U110" s="282"/>
      <c r="V110" s="419"/>
      <c r="W110" s="54"/>
      <c r="X110" s="54"/>
      <c r="Y110" s="54"/>
      <c r="Z110" s="54"/>
      <c r="AA110" s="54"/>
      <c r="AB110" s="54"/>
      <c r="AC110" s="54"/>
      <c r="AD110" s="282"/>
    </row>
    <row r="111" spans="1:33" ht="48" customHeight="1">
      <c r="A111" s="635" t="s">
        <v>185</v>
      </c>
      <c r="B111" s="635">
        <v>244</v>
      </c>
      <c r="C111" s="564">
        <v>0</v>
      </c>
      <c r="D111" s="623">
        <f>D112</f>
        <v>1089236.8799999999</v>
      </c>
      <c r="E111" s="282">
        <f>SUM(E112:E121)</f>
        <v>0</v>
      </c>
      <c r="F111" s="282">
        <f>SUM(F112)</f>
        <v>87400</v>
      </c>
      <c r="G111" s="282">
        <f>SUM(G112)</f>
        <v>76000</v>
      </c>
      <c r="H111" s="282">
        <f>SUM(H112)</f>
        <v>26600</v>
      </c>
      <c r="I111" s="282">
        <f>SUM(I114:I121)</f>
        <v>0</v>
      </c>
      <c r="J111" s="282">
        <f>SUM(J114:J121)</f>
        <v>0</v>
      </c>
      <c r="K111" s="24">
        <f t="shared" ref="K111:P111" si="42">SUM(K112)</f>
        <v>0</v>
      </c>
      <c r="L111" s="282">
        <f t="shared" si="42"/>
        <v>0</v>
      </c>
      <c r="M111" s="282">
        <f t="shared" si="42"/>
        <v>0</v>
      </c>
      <c r="N111" s="282">
        <f t="shared" si="42"/>
        <v>0</v>
      </c>
      <c r="O111" s="282">
        <f t="shared" si="42"/>
        <v>0</v>
      </c>
      <c r="P111" s="282">
        <f t="shared" si="42"/>
        <v>0</v>
      </c>
      <c r="Q111" s="279">
        <f>SUM(R111:AC111)</f>
        <v>190000</v>
      </c>
      <c r="R111" s="403">
        <f>SUM(R112:R121)</f>
        <v>0</v>
      </c>
      <c r="S111" s="403">
        <f>SUM(S112)</f>
        <v>87400</v>
      </c>
      <c r="T111" s="403">
        <f>SUM(T112)</f>
        <v>76000</v>
      </c>
      <c r="U111" s="403">
        <f>SUM(U112)</f>
        <v>26600</v>
      </c>
      <c r="V111" s="403">
        <f>SUM(V114:V121)</f>
        <v>0</v>
      </c>
      <c r="W111" s="369">
        <f>SUM(W114:W121)</f>
        <v>0</v>
      </c>
      <c r="X111" s="369">
        <f t="shared" ref="X111:AC111" si="43">SUM(X112)</f>
        <v>0</v>
      </c>
      <c r="Y111" s="369">
        <f t="shared" si="43"/>
        <v>0</v>
      </c>
      <c r="Z111" s="403">
        <f t="shared" si="43"/>
        <v>0</v>
      </c>
      <c r="AA111" s="403">
        <f t="shared" si="43"/>
        <v>0</v>
      </c>
      <c r="AB111" s="403">
        <f t="shared" si="43"/>
        <v>0</v>
      </c>
      <c r="AC111" s="403">
        <f t="shared" si="43"/>
        <v>0</v>
      </c>
      <c r="AD111" s="282">
        <f>C111+D111-Q111</f>
        <v>899236.87999999989</v>
      </c>
    </row>
    <row r="112" spans="1:33" ht="21" customHeight="1">
      <c r="A112" s="55" t="s">
        <v>63</v>
      </c>
      <c r="B112" s="55"/>
      <c r="C112" s="52" t="s">
        <v>33</v>
      </c>
      <c r="D112" s="286">
        <f>60717.12+166538.4+146897.71+27172.38+146850.01+50148.08+52807.92+23041.68+68202.68+8169.34+148713.03+156459.76+33518.77</f>
        <v>1089236.8799999999</v>
      </c>
      <c r="E112" s="302"/>
      <c r="F112" s="302">
        <f>24700+36100+26600</f>
        <v>87400</v>
      </c>
      <c r="G112" s="302">
        <f>47500+28500</f>
        <v>76000</v>
      </c>
      <c r="H112" s="302">
        <v>26600</v>
      </c>
      <c r="I112" s="302"/>
      <c r="J112" s="302"/>
      <c r="K112" s="68"/>
      <c r="L112" s="302"/>
      <c r="M112" s="302"/>
      <c r="N112" s="302"/>
      <c r="O112" s="302"/>
      <c r="P112" s="302"/>
      <c r="Q112" s="295">
        <f>SUM(R112:AC112)</f>
        <v>190000</v>
      </c>
      <c r="R112" s="301"/>
      <c r="S112" s="372">
        <f>9500+7600+7600+7600+9500+1900+7600+9500+9500+7600+9500</f>
        <v>87400</v>
      </c>
      <c r="T112" s="372">
        <f>7600+7600+7600+9500+7600+7600+7600+7600+7600+5700</f>
        <v>76000</v>
      </c>
      <c r="U112" s="371">
        <f>5700+5700+5700+9500</f>
        <v>26600</v>
      </c>
      <c r="V112" s="372"/>
      <c r="W112" s="371"/>
      <c r="X112" s="371"/>
      <c r="Y112" s="372"/>
      <c r="Z112" s="372"/>
      <c r="AA112" s="475"/>
      <c r="AB112" s="372"/>
      <c r="AC112" s="486"/>
      <c r="AD112" s="54" t="s">
        <v>33</v>
      </c>
      <c r="AE112" s="399"/>
      <c r="AF112" s="398"/>
    </row>
    <row r="113" spans="1:33" s="3" customFormat="1" ht="30" customHeight="1">
      <c r="A113" s="635" t="s">
        <v>203</v>
      </c>
      <c r="B113" s="635">
        <v>244</v>
      </c>
      <c r="C113" s="672" t="s">
        <v>33</v>
      </c>
      <c r="D113" s="564">
        <f t="shared" ref="D113:D121" si="44">SUM(E113:P113)</f>
        <v>0</v>
      </c>
      <c r="E113" s="282"/>
      <c r="F113" s="282"/>
      <c r="G113" s="282"/>
      <c r="H113" s="282"/>
      <c r="I113" s="282"/>
      <c r="J113" s="282"/>
      <c r="K113" s="24"/>
      <c r="L113" s="282"/>
      <c r="M113" s="282"/>
      <c r="N113" s="282"/>
      <c r="O113" s="282">
        <v>0</v>
      </c>
      <c r="P113" s="282"/>
      <c r="Q113" s="279">
        <f>SUM(R113:AC113)</f>
        <v>0</v>
      </c>
      <c r="R113" s="54"/>
      <c r="S113" s="54"/>
      <c r="T113" s="478"/>
      <c r="U113" s="54"/>
      <c r="V113" s="91"/>
      <c r="W113" s="478"/>
      <c r="X113" s="54"/>
      <c r="Y113" s="54"/>
      <c r="Z113" s="54"/>
      <c r="AA113" s="54"/>
      <c r="AB113" s="479"/>
      <c r="AC113" s="54"/>
      <c r="AD113" s="282">
        <f>D113-Q113</f>
        <v>0</v>
      </c>
    </row>
    <row r="114" spans="1:33" s="3" customFormat="1" ht="28.9" hidden="1" customHeight="1">
      <c r="A114" s="635" t="s">
        <v>202</v>
      </c>
      <c r="B114" s="635">
        <v>244</v>
      </c>
      <c r="C114" s="672" t="s">
        <v>33</v>
      </c>
      <c r="D114" s="564">
        <v>0</v>
      </c>
      <c r="E114" s="282"/>
      <c r="F114" s="282"/>
      <c r="G114" s="282"/>
      <c r="H114" s="282"/>
      <c r="I114" s="282"/>
      <c r="J114" s="282"/>
      <c r="K114" s="24"/>
      <c r="L114" s="282"/>
      <c r="M114" s="282"/>
      <c r="N114" s="282"/>
      <c r="O114" s="282">
        <f>SUM(O117)</f>
        <v>0</v>
      </c>
      <c r="P114" s="282">
        <f>SUM(P116:P121)</f>
        <v>0</v>
      </c>
      <c r="Q114" s="279">
        <f>SUM(R114:AC114)</f>
        <v>0</v>
      </c>
      <c r="R114" s="54"/>
      <c r="S114" s="54"/>
      <c r="T114" s="478"/>
      <c r="U114" s="54"/>
      <c r="V114" s="91"/>
      <c r="W114" s="478"/>
      <c r="X114" s="54"/>
      <c r="Y114" s="54"/>
      <c r="Z114" s="54"/>
      <c r="AA114" s="54"/>
      <c r="AB114" s="479"/>
      <c r="AC114" s="478">
        <f>SUM(AC116:AC121)</f>
        <v>0</v>
      </c>
      <c r="AD114" s="54" t="s">
        <v>33</v>
      </c>
    </row>
    <row r="115" spans="1:33" s="3" customFormat="1" ht="28.9" hidden="1" customHeight="1">
      <c r="A115" s="630" t="s">
        <v>217</v>
      </c>
      <c r="B115" s="630"/>
      <c r="C115" s="673"/>
      <c r="D115" s="609">
        <f>D114-D116-D117</f>
        <v>0</v>
      </c>
      <c r="E115" s="282"/>
      <c r="F115" s="282"/>
      <c r="G115" s="282"/>
      <c r="H115" s="282"/>
      <c r="I115" s="282"/>
      <c r="J115" s="282"/>
      <c r="K115" s="24"/>
      <c r="L115" s="282"/>
      <c r="M115" s="282"/>
      <c r="N115" s="282"/>
      <c r="O115" s="282"/>
      <c r="P115" s="282"/>
      <c r="Q115" s="279"/>
      <c r="R115" s="54"/>
      <c r="S115" s="54"/>
      <c r="T115" s="478"/>
      <c r="U115" s="54"/>
      <c r="V115" s="91"/>
      <c r="W115" s="478"/>
      <c r="X115" s="54"/>
      <c r="Y115" s="54"/>
      <c r="Z115" s="54"/>
      <c r="AA115" s="54"/>
      <c r="AB115" s="479"/>
      <c r="AC115" s="478"/>
      <c r="AD115" s="54"/>
    </row>
    <row r="116" spans="1:33" ht="22.15" hidden="1" customHeight="1">
      <c r="A116" s="50" t="s">
        <v>147</v>
      </c>
      <c r="B116" s="50"/>
      <c r="C116" s="52" t="s">
        <v>33</v>
      </c>
      <c r="D116" s="278"/>
      <c r="E116" s="278"/>
      <c r="F116" s="278"/>
      <c r="G116" s="278"/>
      <c r="H116" s="278"/>
      <c r="I116" s="278"/>
      <c r="J116" s="278"/>
      <c r="K116" s="23"/>
      <c r="L116" s="278"/>
      <c r="M116" s="278"/>
      <c r="N116" s="278"/>
      <c r="O116" s="278"/>
      <c r="P116" s="278"/>
      <c r="Q116" s="295">
        <f t="shared" ref="Q116:Q121" si="45">SUM(R116:AC116)</f>
        <v>0</v>
      </c>
      <c r="R116" s="53"/>
      <c r="S116" s="53"/>
      <c r="T116" s="371"/>
      <c r="U116" s="67"/>
      <c r="V116" s="53"/>
      <c r="W116" s="53"/>
      <c r="X116" s="53"/>
      <c r="Y116" s="53"/>
      <c r="Z116" s="53"/>
      <c r="AA116" s="53"/>
      <c r="AB116" s="372"/>
      <c r="AC116" s="53"/>
      <c r="AD116" s="54" t="s">
        <v>33</v>
      </c>
    </row>
    <row r="117" spans="1:33" ht="20.45" hidden="1" customHeight="1">
      <c r="A117" s="55" t="s">
        <v>165</v>
      </c>
      <c r="B117" s="55"/>
      <c r="C117" s="73" t="s">
        <v>33</v>
      </c>
      <c r="D117" s="278">
        <f t="shared" si="44"/>
        <v>0</v>
      </c>
      <c r="E117" s="297"/>
      <c r="F117" s="297"/>
      <c r="G117" s="297"/>
      <c r="H117" s="297"/>
      <c r="I117" s="297"/>
      <c r="J117" s="297"/>
      <c r="K117" s="346"/>
      <c r="L117" s="297"/>
      <c r="M117" s="297"/>
      <c r="N117" s="297"/>
      <c r="O117" s="297"/>
      <c r="P117" s="297"/>
      <c r="Q117" s="295">
        <f t="shared" si="45"/>
        <v>0</v>
      </c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372"/>
      <c r="AC117" s="53"/>
      <c r="AD117" s="54" t="s">
        <v>33</v>
      </c>
    </row>
    <row r="118" spans="1:33" ht="22.15" hidden="1" customHeight="1">
      <c r="A118" s="55"/>
      <c r="B118" s="55"/>
      <c r="C118" s="52" t="s">
        <v>33</v>
      </c>
      <c r="D118" s="278">
        <f t="shared" si="44"/>
        <v>0</v>
      </c>
      <c r="E118" s="302"/>
      <c r="F118" s="302"/>
      <c r="G118" s="302"/>
      <c r="H118" s="302"/>
      <c r="I118" s="302"/>
      <c r="J118" s="302"/>
      <c r="K118" s="68"/>
      <c r="L118" s="302"/>
      <c r="M118" s="302"/>
      <c r="N118" s="302"/>
      <c r="O118" s="302"/>
      <c r="P118" s="302"/>
      <c r="Q118" s="295">
        <f t="shared" si="45"/>
        <v>0</v>
      </c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4" t="s">
        <v>33</v>
      </c>
    </row>
    <row r="119" spans="1:33" ht="19.899999999999999" hidden="1" customHeight="1">
      <c r="A119" s="55"/>
      <c r="B119" s="55"/>
      <c r="C119" s="52" t="s">
        <v>33</v>
      </c>
      <c r="D119" s="278">
        <f t="shared" si="44"/>
        <v>0</v>
      </c>
      <c r="E119" s="306"/>
      <c r="F119" s="306"/>
      <c r="G119" s="306"/>
      <c r="H119" s="306"/>
      <c r="I119" s="306"/>
      <c r="J119" s="306"/>
      <c r="K119" s="74"/>
      <c r="L119" s="306"/>
      <c r="M119" s="306"/>
      <c r="N119" s="306"/>
      <c r="O119" s="306"/>
      <c r="P119" s="306"/>
      <c r="Q119" s="295">
        <f t="shared" si="45"/>
        <v>0</v>
      </c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4" t="s">
        <v>33</v>
      </c>
    </row>
    <row r="120" spans="1:33" s="35" customFormat="1" ht="19.899999999999999" hidden="1" customHeight="1">
      <c r="A120" s="69"/>
      <c r="B120" s="69"/>
      <c r="C120" s="52" t="s">
        <v>33</v>
      </c>
      <c r="D120" s="278">
        <f t="shared" si="44"/>
        <v>0</v>
      </c>
      <c r="E120" s="297"/>
      <c r="F120" s="297"/>
      <c r="G120" s="297"/>
      <c r="H120" s="297"/>
      <c r="I120" s="297"/>
      <c r="J120" s="297"/>
      <c r="K120" s="346"/>
      <c r="L120" s="297"/>
      <c r="M120" s="297"/>
      <c r="N120" s="297"/>
      <c r="O120" s="297"/>
      <c r="P120" s="297"/>
      <c r="Q120" s="295">
        <f t="shared" si="45"/>
        <v>0</v>
      </c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75"/>
      <c r="AE120" s="34"/>
      <c r="AG120" s="34"/>
    </row>
    <row r="121" spans="1:33" s="35" customFormat="1" ht="19.899999999999999" hidden="1" customHeight="1">
      <c r="A121" s="69"/>
      <c r="B121" s="69"/>
      <c r="C121" s="52" t="s">
        <v>33</v>
      </c>
      <c r="D121" s="278">
        <f t="shared" si="44"/>
        <v>0</v>
      </c>
      <c r="E121" s="297"/>
      <c r="F121" s="297"/>
      <c r="G121" s="297"/>
      <c r="H121" s="297"/>
      <c r="I121" s="297"/>
      <c r="J121" s="297"/>
      <c r="K121" s="346"/>
      <c r="L121" s="297"/>
      <c r="M121" s="297"/>
      <c r="N121" s="297"/>
      <c r="O121" s="297"/>
      <c r="P121" s="297"/>
      <c r="Q121" s="295">
        <f t="shared" si="45"/>
        <v>0</v>
      </c>
      <c r="R121" s="53"/>
      <c r="S121" s="53"/>
      <c r="T121" s="53"/>
      <c r="U121" s="53"/>
      <c r="V121" s="53"/>
      <c r="W121" s="53"/>
      <c r="X121" s="371"/>
      <c r="Y121" s="53"/>
      <c r="Z121" s="53"/>
      <c r="AA121" s="53"/>
      <c r="AB121" s="53"/>
      <c r="AC121" s="53"/>
      <c r="AD121" s="56"/>
      <c r="AE121" s="34"/>
      <c r="AG121" s="34"/>
    </row>
    <row r="122" spans="1:33" ht="18" customHeight="1">
      <c r="A122" s="128" t="s">
        <v>67</v>
      </c>
      <c r="B122" s="128"/>
      <c r="C122" s="307">
        <f>C76+C80+C106+C109</f>
        <v>378821.42</v>
      </c>
      <c r="D122" s="307">
        <f>D67+D68+D71+D76+D80+D84+D96+D106+D111+D114+D113+D109</f>
        <v>15826331.940000001</v>
      </c>
      <c r="E122" s="307">
        <f t="shared" ref="E122:N122" si="46">E67+E68+E71+E76+E84+E96+E106+E111</f>
        <v>88577.45</v>
      </c>
      <c r="F122" s="307">
        <f t="shared" si="46"/>
        <v>592607.85</v>
      </c>
      <c r="G122" s="307">
        <f t="shared" si="46"/>
        <v>698227.37000000011</v>
      </c>
      <c r="H122" s="307">
        <f t="shared" si="46"/>
        <v>523825.38</v>
      </c>
      <c r="I122" s="307">
        <f t="shared" si="46"/>
        <v>0</v>
      </c>
      <c r="J122" s="307">
        <f t="shared" si="46"/>
        <v>0</v>
      </c>
      <c r="K122" s="130">
        <f t="shared" si="46"/>
        <v>0</v>
      </c>
      <c r="L122" s="307">
        <f t="shared" si="46"/>
        <v>0</v>
      </c>
      <c r="M122" s="307">
        <f t="shared" si="46"/>
        <v>0</v>
      </c>
      <c r="N122" s="307">
        <f t="shared" si="46"/>
        <v>0</v>
      </c>
      <c r="O122" s="307">
        <f>O67+O68+O71+O76+O84+O96+O106+O111+O114+O113</f>
        <v>0</v>
      </c>
      <c r="P122" s="307">
        <f>P67+P68+P71+P76+P84+P96+P106+P111</f>
        <v>0</v>
      </c>
      <c r="Q122" s="307">
        <f>Q67+Q68+Q71+Q76+Q84+Q96+Q106+Q111+Q114+Q109+Q113</f>
        <v>1818273.24</v>
      </c>
      <c r="R122" s="130">
        <f>R67+R68+R71+R76+R84+R96+R106+R111</f>
        <v>88577.19</v>
      </c>
      <c r="S122" s="130">
        <f>S67+S68+S71+S76+S84+S96+S106+S111</f>
        <v>604872.11</v>
      </c>
      <c r="T122" s="130">
        <f>T67+T68+T71+T76+T84+T96+T106+T111</f>
        <v>689262.52</v>
      </c>
      <c r="U122" s="130">
        <f>U67+U68+U71+U76+U84+U96+U106+U111</f>
        <v>435561.42</v>
      </c>
      <c r="V122" s="307">
        <f>V67+V68+V71+V76+V84+V96+V106+V111+V109</f>
        <v>0</v>
      </c>
      <c r="W122" s="130">
        <f>W67+W68+W71+W76+W84+W96+W106+W111</f>
        <v>0</v>
      </c>
      <c r="X122" s="130">
        <f>X67+X68+X71+X76+X84+X96+X106+X111</f>
        <v>0</v>
      </c>
      <c r="Y122" s="307">
        <f>Y67+Y68+Y71+Y76+Y84+Y96+Y106+Y111</f>
        <v>0</v>
      </c>
      <c r="Z122" s="307">
        <f>Z67+Z68+Z71+Z76+Z84+Z96+Z106+Z111</f>
        <v>0</v>
      </c>
      <c r="AA122" s="307">
        <f>AA67+AA68+AA71+AA76+AA84+AA96+AA106+AA111</f>
        <v>0</v>
      </c>
      <c r="AB122" s="307">
        <f>AB67+AB68+AB71+AB76+AB84+AB96+AB106+AB111+AB114+AB113</f>
        <v>0</v>
      </c>
      <c r="AC122" s="307">
        <f>AC67+AC68+AC71+AC76+AC84+AC96+AC106+AC111</f>
        <v>0</v>
      </c>
      <c r="AD122" s="307">
        <f>AD67+AD68+AD71+AD76+AD84+AD96+AD106+AD111+AD109+AD113</f>
        <v>11718265.399999999</v>
      </c>
      <c r="AE122" s="20"/>
    </row>
    <row r="123" spans="1:33" s="76" customFormat="1" ht="24" hidden="1" customHeight="1">
      <c r="A123" s="126" t="s">
        <v>68</v>
      </c>
      <c r="B123" s="126"/>
      <c r="C123" s="126"/>
      <c r="D123" s="308"/>
      <c r="E123" s="308"/>
      <c r="F123" s="308"/>
      <c r="G123" s="308"/>
      <c r="H123" s="308"/>
      <c r="I123" s="308"/>
      <c r="J123" s="308"/>
      <c r="K123" s="348"/>
      <c r="L123" s="308"/>
      <c r="M123" s="308"/>
      <c r="N123" s="308"/>
      <c r="O123" s="308"/>
      <c r="P123" s="308"/>
      <c r="Q123" s="308"/>
      <c r="R123" s="126"/>
      <c r="S123" s="126"/>
      <c r="T123" s="126"/>
      <c r="U123" s="126"/>
      <c r="V123" s="126"/>
      <c r="W123" s="126"/>
      <c r="X123" s="348"/>
      <c r="Y123" s="126"/>
      <c r="Z123" s="126"/>
      <c r="AA123" s="126"/>
      <c r="AB123" s="126"/>
      <c r="AC123" s="126"/>
      <c r="AD123" s="126"/>
    </row>
    <row r="124" spans="1:33" s="76" customFormat="1" ht="39" hidden="1" customHeight="1">
      <c r="A124" s="77" t="s">
        <v>69</v>
      </c>
      <c r="B124" s="77"/>
      <c r="C124" s="78">
        <v>0</v>
      </c>
      <c r="D124" s="309">
        <v>0</v>
      </c>
      <c r="E124" s="309"/>
      <c r="F124" s="309"/>
      <c r="G124" s="309"/>
      <c r="H124" s="309"/>
      <c r="I124" s="309"/>
      <c r="J124" s="309"/>
      <c r="K124" s="349"/>
      <c r="L124" s="309"/>
      <c r="M124" s="309"/>
      <c r="N124" s="309"/>
      <c r="O124" s="309"/>
      <c r="P124" s="309"/>
      <c r="Q124" s="309">
        <v>0</v>
      </c>
      <c r="R124" s="78"/>
      <c r="S124" s="78"/>
      <c r="T124" s="78"/>
      <c r="U124" s="78"/>
      <c r="V124" s="78"/>
      <c r="W124" s="78"/>
      <c r="X124" s="349"/>
      <c r="Y124" s="78"/>
      <c r="Z124" s="78"/>
      <c r="AA124" s="78"/>
      <c r="AB124" s="78"/>
      <c r="AC124" s="78"/>
      <c r="AD124" s="79">
        <f t="shared" ref="AD124:AD131" si="47">C124+D124-Q124</f>
        <v>0</v>
      </c>
    </row>
    <row r="125" spans="1:33" s="76" customFormat="1" ht="15" hidden="1" customHeight="1">
      <c r="A125" s="80" t="s">
        <v>70</v>
      </c>
      <c r="B125" s="80"/>
      <c r="C125" s="81"/>
      <c r="D125" s="310"/>
      <c r="E125" s="310"/>
      <c r="F125" s="310"/>
      <c r="G125" s="310"/>
      <c r="H125" s="310"/>
      <c r="I125" s="310"/>
      <c r="J125" s="310"/>
      <c r="K125" s="350"/>
      <c r="L125" s="310"/>
      <c r="M125" s="310"/>
      <c r="N125" s="310"/>
      <c r="O125" s="310"/>
      <c r="P125" s="310"/>
      <c r="Q125" s="310"/>
      <c r="R125" s="81"/>
      <c r="S125" s="81"/>
      <c r="T125" s="81"/>
      <c r="U125" s="81"/>
      <c r="V125" s="81"/>
      <c r="W125" s="81"/>
      <c r="X125" s="350"/>
      <c r="Y125" s="81"/>
      <c r="Z125" s="81"/>
      <c r="AA125" s="81"/>
      <c r="AB125" s="81"/>
      <c r="AC125" s="81"/>
      <c r="AD125" s="79">
        <f t="shared" si="47"/>
        <v>0</v>
      </c>
    </row>
    <row r="126" spans="1:33" s="76" customFormat="1" ht="28.5" hidden="1" customHeight="1">
      <c r="A126" s="80" t="s">
        <v>71</v>
      </c>
      <c r="B126" s="80"/>
      <c r="C126" s="81"/>
      <c r="D126" s="310"/>
      <c r="E126" s="310"/>
      <c r="F126" s="310"/>
      <c r="G126" s="310"/>
      <c r="H126" s="310"/>
      <c r="I126" s="310"/>
      <c r="J126" s="310"/>
      <c r="K126" s="350"/>
      <c r="L126" s="310"/>
      <c r="M126" s="310"/>
      <c r="N126" s="310"/>
      <c r="O126" s="310"/>
      <c r="P126" s="310"/>
      <c r="Q126" s="310"/>
      <c r="R126" s="81"/>
      <c r="S126" s="81"/>
      <c r="T126" s="81"/>
      <c r="U126" s="81"/>
      <c r="V126" s="81"/>
      <c r="W126" s="81"/>
      <c r="X126" s="350"/>
      <c r="Y126" s="81"/>
      <c r="Z126" s="81"/>
      <c r="AA126" s="81"/>
      <c r="AB126" s="81"/>
      <c r="AC126" s="81"/>
      <c r="AD126" s="79">
        <f t="shared" si="47"/>
        <v>0</v>
      </c>
    </row>
    <row r="127" spans="1:33" s="35" customFormat="1" ht="26.25" hidden="1">
      <c r="A127" s="80" t="s">
        <v>72</v>
      </c>
      <c r="B127" s="80"/>
      <c r="C127" s="82"/>
      <c r="D127" s="311"/>
      <c r="E127" s="311"/>
      <c r="F127" s="311"/>
      <c r="G127" s="311"/>
      <c r="H127" s="311"/>
      <c r="I127" s="311"/>
      <c r="J127" s="311"/>
      <c r="K127" s="351"/>
      <c r="L127" s="311"/>
      <c r="M127" s="311"/>
      <c r="N127" s="311"/>
      <c r="O127" s="311"/>
      <c r="P127" s="311"/>
      <c r="Q127" s="311"/>
      <c r="R127" s="82"/>
      <c r="S127" s="82"/>
      <c r="T127" s="82"/>
      <c r="U127" s="82"/>
      <c r="V127" s="82"/>
      <c r="W127" s="82"/>
      <c r="X127" s="351"/>
      <c r="Y127" s="82"/>
      <c r="Z127" s="82"/>
      <c r="AA127" s="82"/>
      <c r="AB127" s="82"/>
      <c r="AC127" s="82"/>
      <c r="AD127" s="79">
        <f t="shared" si="47"/>
        <v>0</v>
      </c>
      <c r="AE127" s="34"/>
      <c r="AG127" s="34"/>
    </row>
    <row r="128" spans="1:33" s="35" customFormat="1" ht="39" hidden="1">
      <c r="A128" s="80" t="s">
        <v>73</v>
      </c>
      <c r="B128" s="80"/>
      <c r="C128" s="82"/>
      <c r="D128" s="311"/>
      <c r="E128" s="311"/>
      <c r="F128" s="311"/>
      <c r="G128" s="311"/>
      <c r="H128" s="311"/>
      <c r="I128" s="311"/>
      <c r="J128" s="311"/>
      <c r="K128" s="351"/>
      <c r="L128" s="311"/>
      <c r="M128" s="311"/>
      <c r="N128" s="311"/>
      <c r="O128" s="311"/>
      <c r="P128" s="311"/>
      <c r="Q128" s="311"/>
      <c r="R128" s="82"/>
      <c r="S128" s="82"/>
      <c r="T128" s="82"/>
      <c r="U128" s="82"/>
      <c r="V128" s="82"/>
      <c r="W128" s="82"/>
      <c r="X128" s="351"/>
      <c r="Y128" s="82"/>
      <c r="Z128" s="82"/>
      <c r="AA128" s="82"/>
      <c r="AB128" s="82"/>
      <c r="AC128" s="82"/>
      <c r="AD128" s="79">
        <f t="shared" si="47"/>
        <v>0</v>
      </c>
      <c r="AE128" s="34"/>
      <c r="AG128" s="34"/>
    </row>
    <row r="129" spans="1:34" s="35" customFormat="1" ht="26.25" hidden="1">
      <c r="A129" s="80" t="s">
        <v>74</v>
      </c>
      <c r="B129" s="80"/>
      <c r="C129" s="82"/>
      <c r="D129" s="311"/>
      <c r="E129" s="311"/>
      <c r="F129" s="311"/>
      <c r="G129" s="311"/>
      <c r="H129" s="311"/>
      <c r="I129" s="311"/>
      <c r="J129" s="311"/>
      <c r="K129" s="351"/>
      <c r="L129" s="311"/>
      <c r="M129" s="311"/>
      <c r="N129" s="311"/>
      <c r="O129" s="311"/>
      <c r="P129" s="311"/>
      <c r="Q129" s="311"/>
      <c r="R129" s="82"/>
      <c r="S129" s="82"/>
      <c r="T129" s="82"/>
      <c r="U129" s="82"/>
      <c r="V129" s="82"/>
      <c r="W129" s="82"/>
      <c r="X129" s="351"/>
      <c r="Y129" s="82"/>
      <c r="Z129" s="82"/>
      <c r="AA129" s="82"/>
      <c r="AB129" s="82"/>
      <c r="AC129" s="82"/>
      <c r="AD129" s="79">
        <f t="shared" si="47"/>
        <v>0</v>
      </c>
      <c r="AE129" s="34"/>
      <c r="AG129" s="34"/>
    </row>
    <row r="130" spans="1:34" s="35" customFormat="1" ht="26.25" hidden="1">
      <c r="A130" s="80" t="s">
        <v>75</v>
      </c>
      <c r="B130" s="80"/>
      <c r="C130" s="82"/>
      <c r="D130" s="311"/>
      <c r="E130" s="311"/>
      <c r="F130" s="311"/>
      <c r="G130" s="311"/>
      <c r="H130" s="311"/>
      <c r="I130" s="311"/>
      <c r="J130" s="311"/>
      <c r="K130" s="351"/>
      <c r="L130" s="311"/>
      <c r="M130" s="311"/>
      <c r="N130" s="311"/>
      <c r="O130" s="311"/>
      <c r="P130" s="311"/>
      <c r="Q130" s="311"/>
      <c r="R130" s="82"/>
      <c r="S130" s="82"/>
      <c r="T130" s="82"/>
      <c r="U130" s="82"/>
      <c r="V130" s="82"/>
      <c r="W130" s="82"/>
      <c r="X130" s="351"/>
      <c r="Y130" s="82"/>
      <c r="Z130" s="82"/>
      <c r="AA130" s="82"/>
      <c r="AB130" s="82"/>
      <c r="AC130" s="82"/>
      <c r="AD130" s="79">
        <f t="shared" si="47"/>
        <v>0</v>
      </c>
      <c r="AE130" s="34"/>
      <c r="AG130" s="34"/>
    </row>
    <row r="131" spans="1:34" s="35" customFormat="1" ht="10.7" hidden="1" customHeight="1">
      <c r="A131" s="80" t="s">
        <v>76</v>
      </c>
      <c r="B131" s="80"/>
      <c r="C131" s="82"/>
      <c r="D131" s="311"/>
      <c r="E131" s="311"/>
      <c r="F131" s="311"/>
      <c r="G131" s="311"/>
      <c r="H131" s="311"/>
      <c r="I131" s="311"/>
      <c r="J131" s="311"/>
      <c r="K131" s="351"/>
      <c r="L131" s="311"/>
      <c r="M131" s="311"/>
      <c r="N131" s="311"/>
      <c r="O131" s="311"/>
      <c r="P131" s="311"/>
      <c r="Q131" s="311"/>
      <c r="R131" s="82"/>
      <c r="S131" s="82"/>
      <c r="T131" s="82"/>
      <c r="U131" s="82"/>
      <c r="V131" s="82"/>
      <c r="W131" s="82"/>
      <c r="X131" s="351"/>
      <c r="Y131" s="82"/>
      <c r="Z131" s="82"/>
      <c r="AA131" s="82"/>
      <c r="AB131" s="82"/>
      <c r="AC131" s="82"/>
      <c r="AD131" s="79">
        <f t="shared" si="47"/>
        <v>0</v>
      </c>
      <c r="AE131" s="34"/>
      <c r="AG131" s="34"/>
    </row>
    <row r="132" spans="1:34" s="35" customFormat="1" ht="20.65" hidden="1" customHeight="1">
      <c r="A132" s="83" t="s">
        <v>77</v>
      </c>
      <c r="B132" s="83"/>
      <c r="C132" s="84">
        <f>C124+C126+C127+C128+C129+C130+C131+C125</f>
        <v>0</v>
      </c>
      <c r="D132" s="312">
        <f>D124+D126+D127+D128+D129+D130+D131+D125</f>
        <v>0</v>
      </c>
      <c r="E132" s="312"/>
      <c r="F132" s="312"/>
      <c r="G132" s="312"/>
      <c r="H132" s="312"/>
      <c r="I132" s="312"/>
      <c r="J132" s="312"/>
      <c r="K132" s="352"/>
      <c r="L132" s="312"/>
      <c r="M132" s="312"/>
      <c r="N132" s="312"/>
      <c r="O132" s="312"/>
      <c r="P132" s="312"/>
      <c r="Q132" s="312">
        <f>Q124+Q126+Q127+Q128+Q129+Q130+Q131+Q125</f>
        <v>0</v>
      </c>
      <c r="R132" s="84"/>
      <c r="S132" s="84"/>
      <c r="T132" s="84"/>
      <c r="U132" s="84"/>
      <c r="V132" s="84"/>
      <c r="W132" s="84"/>
      <c r="X132" s="352"/>
      <c r="Y132" s="84"/>
      <c r="Z132" s="84"/>
      <c r="AA132" s="84"/>
      <c r="AB132" s="84"/>
      <c r="AC132" s="84"/>
      <c r="AD132" s="84">
        <f>AD124+AD126+AD127+AD128+AD129+AD130+AD131+AD125</f>
        <v>0</v>
      </c>
      <c r="AE132" s="34"/>
      <c r="AG132" s="34"/>
    </row>
    <row r="133" spans="1:34" ht="40.9" customHeight="1">
      <c r="A133" s="85" t="s">
        <v>78</v>
      </c>
      <c r="B133" s="85"/>
      <c r="C133" s="86"/>
      <c r="D133" s="313"/>
      <c r="E133" s="313"/>
      <c r="F133" s="313"/>
      <c r="G133" s="313"/>
      <c r="H133" s="313"/>
      <c r="I133" s="313"/>
      <c r="J133" s="313"/>
      <c r="K133" s="353"/>
      <c r="L133" s="313"/>
      <c r="M133" s="313"/>
      <c r="N133" s="313"/>
      <c r="O133" s="313"/>
      <c r="P133" s="313"/>
      <c r="Q133" s="313"/>
      <c r="R133" s="86"/>
      <c r="S133" s="86"/>
      <c r="T133" s="86"/>
      <c r="U133" s="86"/>
      <c r="V133" s="86"/>
      <c r="W133" s="86"/>
      <c r="X133" s="353"/>
      <c r="Y133" s="86"/>
      <c r="Z133" s="86"/>
      <c r="AA133" s="86"/>
      <c r="AB133" s="86"/>
      <c r="AC133" s="86"/>
      <c r="AD133" s="87"/>
    </row>
    <row r="134" spans="1:34" ht="29.45" customHeight="1">
      <c r="A134" s="679" t="s">
        <v>212</v>
      </c>
      <c r="B134" s="555" t="s">
        <v>209</v>
      </c>
      <c r="C134" s="680" t="s">
        <v>238</v>
      </c>
      <c r="D134" s="681" t="s">
        <v>5</v>
      </c>
      <c r="E134" s="674" t="s">
        <v>109</v>
      </c>
      <c r="F134" s="275" t="s">
        <v>110</v>
      </c>
      <c r="G134" s="275" t="s">
        <v>111</v>
      </c>
      <c r="H134" s="275" t="s">
        <v>112</v>
      </c>
      <c r="I134" s="275" t="s">
        <v>113</v>
      </c>
      <c r="J134" s="275" t="s">
        <v>114</v>
      </c>
      <c r="K134" s="337" t="s">
        <v>115</v>
      </c>
      <c r="L134" s="337" t="s">
        <v>116</v>
      </c>
      <c r="M134" s="275" t="s">
        <v>117</v>
      </c>
      <c r="N134" s="275" t="s">
        <v>118</v>
      </c>
      <c r="O134" s="275" t="s">
        <v>119</v>
      </c>
      <c r="P134" s="275" t="s">
        <v>120</v>
      </c>
      <c r="Q134" s="275" t="s">
        <v>6</v>
      </c>
      <c r="R134" s="275" t="s">
        <v>109</v>
      </c>
      <c r="S134" s="275" t="s">
        <v>110</v>
      </c>
      <c r="T134" s="275" t="s">
        <v>111</v>
      </c>
      <c r="U134" s="275" t="s">
        <v>112</v>
      </c>
      <c r="V134" s="275" t="s">
        <v>113</v>
      </c>
      <c r="W134" s="337" t="s">
        <v>114</v>
      </c>
      <c r="X134" s="337" t="s">
        <v>115</v>
      </c>
      <c r="Y134" s="337" t="s">
        <v>116</v>
      </c>
      <c r="Z134" s="275" t="s">
        <v>117</v>
      </c>
      <c r="AA134" s="275" t="s">
        <v>118</v>
      </c>
      <c r="AB134" s="275" t="s">
        <v>119</v>
      </c>
      <c r="AC134" s="275" t="s">
        <v>120</v>
      </c>
      <c r="AD134" s="11" t="s">
        <v>205</v>
      </c>
    </row>
    <row r="135" spans="1:34" ht="42" customHeight="1">
      <c r="A135" s="648" t="s">
        <v>80</v>
      </c>
      <c r="B135" s="648">
        <v>244</v>
      </c>
      <c r="C135" s="452">
        <v>0</v>
      </c>
      <c r="D135" s="279">
        <f>8000+8000+33000+8000+10500+8000+8000+33375+8000</f>
        <v>124875</v>
      </c>
      <c r="E135" s="294"/>
      <c r="F135" s="282">
        <f>SUM(F139:F146)</f>
        <v>9128</v>
      </c>
      <c r="G135" s="282">
        <f t="shared" ref="G135:P135" si="48">SUM(G137:G146)</f>
        <v>-6548</v>
      </c>
      <c r="H135" s="282">
        <f t="shared" si="48"/>
        <v>1290</v>
      </c>
      <c r="I135" s="282">
        <f t="shared" si="48"/>
        <v>0</v>
      </c>
      <c r="J135" s="282">
        <f t="shared" si="48"/>
        <v>0</v>
      </c>
      <c r="K135" s="24">
        <f t="shared" si="48"/>
        <v>0</v>
      </c>
      <c r="L135" s="24">
        <f t="shared" si="48"/>
        <v>0</v>
      </c>
      <c r="M135" s="282">
        <f t="shared" si="48"/>
        <v>0</v>
      </c>
      <c r="N135" s="282">
        <f t="shared" si="48"/>
        <v>0</v>
      </c>
      <c r="O135" s="282">
        <f t="shared" si="48"/>
        <v>0</v>
      </c>
      <c r="P135" s="282">
        <f t="shared" si="48"/>
        <v>0</v>
      </c>
      <c r="Q135" s="279">
        <f>SUM(R135:AC135)</f>
        <v>3870</v>
      </c>
      <c r="R135" s="24"/>
      <c r="S135" s="282">
        <f>SUM(S139:S146)</f>
        <v>9128</v>
      </c>
      <c r="T135" s="282">
        <f>SUM(T137:T146)</f>
        <v>-6548</v>
      </c>
      <c r="U135" s="282">
        <f>SUM(U137:U146)</f>
        <v>1290</v>
      </c>
      <c r="V135" s="282">
        <f t="shared" ref="V135:AC135" si="49">SUM(V137:V146)</f>
        <v>0</v>
      </c>
      <c r="W135" s="24">
        <f t="shared" si="49"/>
        <v>0</v>
      </c>
      <c r="X135" s="24">
        <f t="shared" si="49"/>
        <v>0</v>
      </c>
      <c r="Y135" s="24">
        <f t="shared" si="49"/>
        <v>0</v>
      </c>
      <c r="Z135" s="24">
        <f>SUM(Z137:Z146)</f>
        <v>0</v>
      </c>
      <c r="AA135" s="24">
        <f>SUM(AA137:AA146)</f>
        <v>0</v>
      </c>
      <c r="AB135" s="24">
        <f>SUM(AB137:AB146)</f>
        <v>0</v>
      </c>
      <c r="AC135" s="282">
        <f t="shared" si="49"/>
        <v>0</v>
      </c>
      <c r="AD135" s="282">
        <f>C135+D135-Q135</f>
        <v>121005</v>
      </c>
      <c r="AF135" s="88"/>
      <c r="AG135" s="88"/>
      <c r="AH135" s="88"/>
    </row>
    <row r="136" spans="1:34" ht="18.75">
      <c r="A136" s="649" t="s">
        <v>217</v>
      </c>
      <c r="B136" s="649"/>
      <c r="C136" s="650"/>
      <c r="D136" s="614">
        <f>D135-D137-D138-D139-D140-D141-D142-D143-D144-D145-D146</f>
        <v>0</v>
      </c>
      <c r="E136" s="294"/>
      <c r="F136" s="282"/>
      <c r="G136" s="282"/>
      <c r="H136" s="282"/>
      <c r="I136" s="282"/>
      <c r="J136" s="282"/>
      <c r="K136" s="24"/>
      <c r="L136" s="24"/>
      <c r="M136" s="282"/>
      <c r="N136" s="282"/>
      <c r="O136" s="282"/>
      <c r="P136" s="282"/>
      <c r="Q136" s="584"/>
      <c r="R136" s="24"/>
      <c r="S136" s="282"/>
      <c r="T136" s="282"/>
      <c r="U136" s="282"/>
      <c r="V136" s="282"/>
      <c r="W136" s="24"/>
      <c r="X136" s="24"/>
      <c r="Y136" s="24"/>
      <c r="Z136" s="24"/>
      <c r="AA136" s="24"/>
      <c r="AB136" s="24"/>
      <c r="AC136" s="282"/>
      <c r="AD136" s="282"/>
      <c r="AF136" s="88"/>
      <c r="AG136" s="88"/>
      <c r="AH136" s="88"/>
    </row>
    <row r="137" spans="1:34" ht="22.9" hidden="1" customHeight="1">
      <c r="A137" s="646" t="s">
        <v>195</v>
      </c>
      <c r="B137" s="646"/>
      <c r="C137" s="452">
        <v>0</v>
      </c>
      <c r="D137" s="682"/>
      <c r="E137" s="675"/>
      <c r="F137" s="304"/>
      <c r="G137" s="304"/>
      <c r="H137" s="304"/>
      <c r="I137" s="304"/>
      <c r="J137" s="304"/>
      <c r="K137" s="70"/>
      <c r="L137" s="304"/>
      <c r="M137" s="304"/>
      <c r="N137" s="304"/>
      <c r="O137" s="304"/>
      <c r="P137" s="304"/>
      <c r="Q137" s="304"/>
      <c r="R137" s="53"/>
      <c r="S137" s="53"/>
      <c r="T137" s="53"/>
      <c r="U137" s="67"/>
      <c r="V137" s="301"/>
      <c r="W137" s="53"/>
      <c r="X137" s="53"/>
      <c r="Y137" s="53"/>
      <c r="Z137" s="390"/>
      <c r="AA137" s="53"/>
      <c r="AB137" s="53"/>
      <c r="AC137" s="53"/>
      <c r="AD137" s="54" t="s">
        <v>33</v>
      </c>
      <c r="AF137" s="88"/>
      <c r="AG137" s="88"/>
      <c r="AH137" s="89"/>
    </row>
    <row r="138" spans="1:34" ht="22.5" hidden="1" customHeight="1">
      <c r="A138" s="646" t="s">
        <v>82</v>
      </c>
      <c r="B138" s="646"/>
      <c r="C138" s="452">
        <v>0</v>
      </c>
      <c r="D138" s="682"/>
      <c r="E138" s="676"/>
      <c r="F138" s="302"/>
      <c r="G138" s="302"/>
      <c r="H138" s="302"/>
      <c r="I138" s="302"/>
      <c r="J138" s="302"/>
      <c r="K138" s="68"/>
      <c r="L138" s="302"/>
      <c r="M138" s="302"/>
      <c r="N138" s="302"/>
      <c r="O138" s="302"/>
      <c r="P138" s="302"/>
      <c r="Q138" s="302"/>
      <c r="R138" s="53"/>
      <c r="S138" s="53"/>
      <c r="T138" s="53"/>
      <c r="U138" s="67"/>
      <c r="V138" s="301"/>
      <c r="W138" s="53"/>
      <c r="X138" s="371"/>
      <c r="Y138" s="53"/>
      <c r="Z138" s="390"/>
      <c r="AA138" s="53"/>
      <c r="AB138" s="53"/>
      <c r="AC138" s="53"/>
      <c r="AD138" s="54" t="s">
        <v>33</v>
      </c>
      <c r="AF138" s="88"/>
      <c r="AG138" s="88"/>
      <c r="AH138" s="89"/>
    </row>
    <row r="139" spans="1:34" ht="28.9" customHeight="1">
      <c r="A139" s="646" t="s">
        <v>83</v>
      </c>
      <c r="B139" s="646"/>
      <c r="C139" s="452">
        <v>0</v>
      </c>
      <c r="D139" s="295">
        <f>8000+8000+8000+8000+8000+8000+8000+8000+8000</f>
        <v>72000</v>
      </c>
      <c r="E139" s="296"/>
      <c r="F139" s="278">
        <f>1290+1290</f>
        <v>2580</v>
      </c>
      <c r="G139" s="278">
        <f>1290-1290</f>
        <v>0</v>
      </c>
      <c r="H139" s="278">
        <v>1290</v>
      </c>
      <c r="I139" s="278"/>
      <c r="J139" s="278"/>
      <c r="K139" s="23"/>
      <c r="L139" s="278"/>
      <c r="M139" s="278"/>
      <c r="N139" s="278"/>
      <c r="O139" s="278"/>
      <c r="P139" s="278"/>
      <c r="Q139" s="295">
        <f t="shared" ref="Q139:Q145" si="50">SUM(R139:AC139)</f>
        <v>3870</v>
      </c>
      <c r="R139" s="53"/>
      <c r="S139" s="371">
        <f>1290+1290</f>
        <v>2580</v>
      </c>
      <c r="T139" s="372">
        <f>1290-1290</f>
        <v>0</v>
      </c>
      <c r="U139" s="374">
        <v>1290</v>
      </c>
      <c r="V139" s="372"/>
      <c r="W139" s="371"/>
      <c r="X139" s="371"/>
      <c r="Y139" s="372"/>
      <c r="Z139" s="391"/>
      <c r="AA139" s="372"/>
      <c r="AB139" s="402"/>
      <c r="AC139" s="374"/>
      <c r="AD139" s="54" t="s">
        <v>33</v>
      </c>
      <c r="AF139" s="88"/>
      <c r="AG139" s="88"/>
      <c r="AH139" s="89"/>
    </row>
    <row r="140" spans="1:34" ht="21.6" hidden="1" customHeight="1">
      <c r="A140" s="646" t="s">
        <v>84</v>
      </c>
      <c r="B140" s="646"/>
      <c r="C140" s="452">
        <v>0</v>
      </c>
      <c r="D140" s="295"/>
      <c r="E140" s="296"/>
      <c r="F140" s="278">
        <v>6548</v>
      </c>
      <c r="G140" s="278">
        <v>-6548</v>
      </c>
      <c r="H140" s="278"/>
      <c r="I140" s="278"/>
      <c r="J140" s="278"/>
      <c r="K140" s="23"/>
      <c r="L140" s="278"/>
      <c r="M140" s="278"/>
      <c r="N140" s="278"/>
      <c r="O140" s="278"/>
      <c r="P140" s="278"/>
      <c r="Q140" s="295">
        <f t="shared" si="50"/>
        <v>0</v>
      </c>
      <c r="R140" s="53"/>
      <c r="S140" s="371">
        <v>6548</v>
      </c>
      <c r="T140" s="372">
        <f>-6548</f>
        <v>-6548</v>
      </c>
      <c r="U140" s="67"/>
      <c r="V140" s="301"/>
      <c r="W140" s="53"/>
      <c r="X140" s="371"/>
      <c r="Y140" s="53"/>
      <c r="Z140" s="390"/>
      <c r="AA140" s="372"/>
      <c r="AB140" s="402"/>
      <c r="AC140" s="67"/>
      <c r="AD140" s="54" t="s">
        <v>33</v>
      </c>
      <c r="AF140" s="88"/>
      <c r="AG140" s="88"/>
      <c r="AH140" s="89"/>
    </row>
    <row r="141" spans="1:34" ht="21.6" customHeight="1">
      <c r="A141" s="646" t="s">
        <v>85</v>
      </c>
      <c r="B141" s="646"/>
      <c r="C141" s="452">
        <v>0</v>
      </c>
      <c r="D141" s="295">
        <v>25375</v>
      </c>
      <c r="E141" s="296"/>
      <c r="F141" s="278"/>
      <c r="G141" s="278"/>
      <c r="H141" s="278"/>
      <c r="I141" s="278"/>
      <c r="J141" s="278"/>
      <c r="K141" s="23"/>
      <c r="L141" s="278"/>
      <c r="M141" s="278"/>
      <c r="N141" s="278"/>
      <c r="O141" s="278"/>
      <c r="P141" s="278"/>
      <c r="Q141" s="295">
        <f t="shared" si="50"/>
        <v>0</v>
      </c>
      <c r="R141" s="53"/>
      <c r="S141" s="53"/>
      <c r="T141" s="53"/>
      <c r="U141" s="67"/>
      <c r="V141" s="301"/>
      <c r="W141" s="53"/>
      <c r="X141" s="371"/>
      <c r="Y141" s="53"/>
      <c r="Z141" s="391"/>
      <c r="AA141" s="372"/>
      <c r="AB141" s="402"/>
      <c r="AC141" s="67"/>
      <c r="AD141" s="54" t="s">
        <v>33</v>
      </c>
      <c r="AF141" s="88"/>
      <c r="AG141" s="88"/>
      <c r="AH141" s="89"/>
    </row>
    <row r="142" spans="1:34" ht="42.6" customHeight="1">
      <c r="A142" s="646" t="s">
        <v>154</v>
      </c>
      <c r="B142" s="646"/>
      <c r="C142" s="452">
        <v>0</v>
      </c>
      <c r="D142" s="295">
        <v>2500</v>
      </c>
      <c r="E142" s="296"/>
      <c r="F142" s="278"/>
      <c r="G142" s="278"/>
      <c r="H142" s="278"/>
      <c r="I142" s="278"/>
      <c r="J142" s="278"/>
      <c r="K142" s="23"/>
      <c r="L142" s="278"/>
      <c r="M142" s="278"/>
      <c r="N142" s="278"/>
      <c r="O142" s="278"/>
      <c r="P142" s="278"/>
      <c r="Q142" s="295">
        <f t="shared" si="50"/>
        <v>0</v>
      </c>
      <c r="R142" s="53"/>
      <c r="S142" s="53"/>
      <c r="T142" s="53"/>
      <c r="U142" s="67"/>
      <c r="V142" s="301"/>
      <c r="W142" s="372"/>
      <c r="X142" s="371"/>
      <c r="Y142" s="53"/>
      <c r="Z142" s="390"/>
      <c r="AA142" s="372"/>
      <c r="AB142" s="402"/>
      <c r="AC142" s="67"/>
      <c r="AD142" s="54" t="s">
        <v>33</v>
      </c>
      <c r="AF142" s="88"/>
      <c r="AG142" s="88"/>
      <c r="AH142" s="89"/>
    </row>
    <row r="143" spans="1:34" ht="25.9" customHeight="1">
      <c r="A143" s="646" t="s">
        <v>86</v>
      </c>
      <c r="B143" s="646"/>
      <c r="C143" s="452">
        <v>0</v>
      </c>
      <c r="D143" s="295">
        <v>25000</v>
      </c>
      <c r="E143" s="296"/>
      <c r="F143" s="278"/>
      <c r="G143" s="278"/>
      <c r="H143" s="278"/>
      <c r="I143" s="278"/>
      <c r="J143" s="278"/>
      <c r="K143" s="23"/>
      <c r="L143" s="278"/>
      <c r="M143" s="278"/>
      <c r="N143" s="278"/>
      <c r="O143" s="278"/>
      <c r="P143" s="278"/>
      <c r="Q143" s="295">
        <f t="shared" si="50"/>
        <v>0</v>
      </c>
      <c r="R143" s="53"/>
      <c r="S143" s="53"/>
      <c r="T143" s="53"/>
      <c r="U143" s="67"/>
      <c r="V143" s="301"/>
      <c r="W143" s="372"/>
      <c r="X143" s="371"/>
      <c r="Y143" s="53"/>
      <c r="Z143" s="390"/>
      <c r="AA143" s="372"/>
      <c r="AB143" s="402"/>
      <c r="AC143" s="67"/>
      <c r="AD143" s="54" t="s">
        <v>33</v>
      </c>
      <c r="AF143" s="88"/>
      <c r="AG143" s="88"/>
      <c r="AH143" s="89"/>
    </row>
    <row r="144" spans="1:34" ht="27.75" customHeight="1">
      <c r="A144" s="677" t="s">
        <v>87</v>
      </c>
      <c r="B144" s="677"/>
      <c r="C144" s="28">
        <v>0</v>
      </c>
      <c r="D144" s="678"/>
      <c r="E144" s="302"/>
      <c r="F144" s="302"/>
      <c r="G144" s="302"/>
      <c r="H144" s="302"/>
      <c r="I144" s="302"/>
      <c r="J144" s="302"/>
      <c r="K144" s="68"/>
      <c r="L144" s="302"/>
      <c r="M144" s="302"/>
      <c r="N144" s="302"/>
      <c r="O144" s="302"/>
      <c r="P144" s="302"/>
      <c r="Q144" s="295">
        <f>SUM(R144:AC144)</f>
        <v>0</v>
      </c>
      <c r="R144" s="53"/>
      <c r="S144" s="53"/>
      <c r="T144" s="53"/>
      <c r="U144" s="374"/>
      <c r="V144" s="301"/>
      <c r="W144" s="53"/>
      <c r="X144" s="371"/>
      <c r="Y144" s="53"/>
      <c r="Z144" s="390"/>
      <c r="AA144" s="372"/>
      <c r="AB144" s="402"/>
      <c r="AC144" s="67"/>
      <c r="AD144" s="54" t="s">
        <v>33</v>
      </c>
      <c r="AF144" s="88"/>
      <c r="AG144" s="88"/>
      <c r="AH144" s="89"/>
    </row>
    <row r="145" spans="1:35" ht="21" customHeight="1">
      <c r="A145" s="55" t="s">
        <v>88</v>
      </c>
      <c r="B145" s="55"/>
      <c r="C145" s="30">
        <v>0</v>
      </c>
      <c r="D145" s="295"/>
      <c r="E145" s="302"/>
      <c r="F145" s="302"/>
      <c r="G145" s="302"/>
      <c r="H145" s="302"/>
      <c r="I145" s="302"/>
      <c r="J145" s="302"/>
      <c r="K145" s="68"/>
      <c r="L145" s="302"/>
      <c r="M145" s="302"/>
      <c r="N145" s="302"/>
      <c r="O145" s="302"/>
      <c r="P145" s="302"/>
      <c r="Q145" s="295">
        <f t="shared" si="50"/>
        <v>0</v>
      </c>
      <c r="R145" s="53"/>
      <c r="S145" s="372"/>
      <c r="T145" s="372"/>
      <c r="U145" s="374"/>
      <c r="V145" s="372"/>
      <c r="W145" s="371"/>
      <c r="X145" s="371"/>
      <c r="Y145" s="53"/>
      <c r="Z145" s="391"/>
      <c r="AA145" s="372"/>
      <c r="AB145" s="402"/>
      <c r="AC145" s="374"/>
      <c r="AD145" s="54" t="s">
        <v>33</v>
      </c>
      <c r="AF145" s="88"/>
      <c r="AG145" s="88"/>
      <c r="AH145" s="89"/>
    </row>
    <row r="146" spans="1:35" ht="21" customHeight="1">
      <c r="A146" s="50" t="s">
        <v>89</v>
      </c>
      <c r="B146" s="50"/>
      <c r="C146" s="30">
        <v>0</v>
      </c>
      <c r="D146" s="302"/>
      <c r="E146" s="302"/>
      <c r="F146" s="302"/>
      <c r="G146" s="302"/>
      <c r="H146" s="302"/>
      <c r="I146" s="302"/>
      <c r="J146" s="302"/>
      <c r="K146" s="68"/>
      <c r="L146" s="302"/>
      <c r="M146" s="302"/>
      <c r="N146" s="302"/>
      <c r="O146" s="302"/>
      <c r="P146" s="302"/>
      <c r="Q146" s="302"/>
      <c r="R146" s="53"/>
      <c r="S146" s="53"/>
      <c r="T146" s="53"/>
      <c r="U146" s="67"/>
      <c r="V146" s="301"/>
      <c r="W146" s="53"/>
      <c r="X146" s="371"/>
      <c r="Y146" s="53"/>
      <c r="Z146" s="390"/>
      <c r="AA146" s="53"/>
      <c r="AB146" s="53"/>
      <c r="AC146" s="53"/>
      <c r="AD146" s="54"/>
      <c r="AF146" s="90"/>
      <c r="AG146" s="88"/>
      <c r="AH146" s="89"/>
    </row>
    <row r="147" spans="1:35" ht="36.75" customHeight="1">
      <c r="A147" s="48" t="s">
        <v>90</v>
      </c>
      <c r="B147" s="48">
        <v>244</v>
      </c>
      <c r="C147" s="30">
        <v>0</v>
      </c>
      <c r="D147" s="279">
        <v>0</v>
      </c>
      <c r="E147" s="282"/>
      <c r="F147" s="282"/>
      <c r="G147" s="282">
        <f>SUM(G148:G149)</f>
        <v>0</v>
      </c>
      <c r="H147" s="282">
        <f>SUM(H148:H149)</f>
        <v>0</v>
      </c>
      <c r="I147" s="282">
        <f>SUM(I148:I149)</f>
        <v>0</v>
      </c>
      <c r="J147" s="282">
        <f>SUM(J148)</f>
        <v>0</v>
      </c>
      <c r="K147" s="24"/>
      <c r="L147" s="282"/>
      <c r="M147" s="282"/>
      <c r="N147" s="282"/>
      <c r="O147" s="408">
        <f>SUM(O148:O149)</f>
        <v>0</v>
      </c>
      <c r="P147" s="91">
        <f>SUM(P148:P149)</f>
        <v>0</v>
      </c>
      <c r="Q147" s="279">
        <f>SUM(R147:AC147)</f>
        <v>0</v>
      </c>
      <c r="R147" s="91"/>
      <c r="S147" s="91"/>
      <c r="T147" s="408">
        <f>SUM(T148:T149)</f>
        <v>0</v>
      </c>
      <c r="U147" s="419">
        <f t="shared" ref="U147:AC147" si="51">SUM(U148:U149)</f>
        <v>0</v>
      </c>
      <c r="V147" s="419">
        <f t="shared" si="51"/>
        <v>0</v>
      </c>
      <c r="W147" s="408">
        <f t="shared" si="51"/>
        <v>0</v>
      </c>
      <c r="X147" s="408">
        <f t="shared" si="51"/>
        <v>0</v>
      </c>
      <c r="Y147" s="91">
        <f t="shared" si="51"/>
        <v>0</v>
      </c>
      <c r="Z147" s="91">
        <f t="shared" si="51"/>
        <v>0</v>
      </c>
      <c r="AA147" s="91">
        <f t="shared" si="51"/>
        <v>0</v>
      </c>
      <c r="AB147" s="91">
        <f>SUM(AB148:AB149)</f>
        <v>0</v>
      </c>
      <c r="AC147" s="91">
        <f t="shared" si="51"/>
        <v>0</v>
      </c>
      <c r="AD147" s="24">
        <f>C147+D147-Q147</f>
        <v>0</v>
      </c>
      <c r="AH147" s="92"/>
    </row>
    <row r="148" spans="1:35" ht="16.5" customHeight="1">
      <c r="A148" s="50" t="s">
        <v>91</v>
      </c>
      <c r="B148" s="50"/>
      <c r="C148" s="30">
        <v>0</v>
      </c>
      <c r="D148" s="278"/>
      <c r="E148" s="278"/>
      <c r="F148" s="278"/>
      <c r="G148" s="278"/>
      <c r="H148" s="278"/>
      <c r="I148" s="278"/>
      <c r="J148" s="278"/>
      <c r="K148" s="23"/>
      <c r="L148" s="278"/>
      <c r="M148" s="278"/>
      <c r="N148" s="278"/>
      <c r="O148" s="278"/>
      <c r="P148" s="278"/>
      <c r="Q148" s="278">
        <f>W148</f>
        <v>0</v>
      </c>
      <c r="R148" s="53"/>
      <c r="S148" s="53"/>
      <c r="T148" s="53"/>
      <c r="U148" s="53"/>
      <c r="V148" s="301"/>
      <c r="W148" s="371"/>
      <c r="X148" s="53"/>
      <c r="Y148" s="53"/>
      <c r="Z148" s="53"/>
      <c r="AA148" s="53"/>
      <c r="AB148" s="53"/>
      <c r="AC148" s="53"/>
      <c r="AD148" s="54" t="s">
        <v>33</v>
      </c>
      <c r="AH148" s="92"/>
    </row>
    <row r="149" spans="1:35" ht="15" hidden="1" customHeight="1">
      <c r="A149" s="50"/>
      <c r="B149" s="50"/>
      <c r="C149" s="30">
        <v>0</v>
      </c>
      <c r="D149" s="278">
        <v>0</v>
      </c>
      <c r="E149" s="278"/>
      <c r="F149" s="278"/>
      <c r="G149" s="278"/>
      <c r="H149" s="278"/>
      <c r="I149" s="278"/>
      <c r="J149" s="278"/>
      <c r="K149" s="23"/>
      <c r="L149" s="278"/>
      <c r="M149" s="278"/>
      <c r="N149" s="278"/>
      <c r="O149" s="278"/>
      <c r="P149" s="278"/>
      <c r="Q149" s="278">
        <v>0</v>
      </c>
      <c r="R149" s="53"/>
      <c r="S149" s="53"/>
      <c r="T149" s="53"/>
      <c r="U149" s="53"/>
      <c r="V149" s="301"/>
      <c r="W149" s="53"/>
      <c r="X149" s="53"/>
      <c r="Y149" s="53"/>
      <c r="Z149" s="53"/>
      <c r="AA149" s="53"/>
      <c r="AB149" s="53"/>
      <c r="AC149" s="53"/>
      <c r="AD149" s="54" t="s">
        <v>33</v>
      </c>
      <c r="AH149" s="92"/>
    </row>
    <row r="150" spans="1:35" ht="20.25" hidden="1" customHeight="1">
      <c r="A150" s="49">
        <v>310</v>
      </c>
      <c r="B150" s="49"/>
      <c r="C150" s="30">
        <v>0</v>
      </c>
      <c r="D150" s="282">
        <f>D151</f>
        <v>0</v>
      </c>
      <c r="E150" s="282"/>
      <c r="F150" s="282"/>
      <c r="G150" s="282"/>
      <c r="H150" s="282"/>
      <c r="I150" s="282"/>
      <c r="J150" s="282"/>
      <c r="K150" s="24"/>
      <c r="L150" s="282"/>
      <c r="M150" s="282"/>
      <c r="N150" s="282"/>
      <c r="O150" s="282"/>
      <c r="P150" s="282"/>
      <c r="Q150" s="282">
        <f>Q151</f>
        <v>0</v>
      </c>
      <c r="R150" s="53"/>
      <c r="S150" s="53"/>
      <c r="T150" s="53"/>
      <c r="U150" s="53"/>
      <c r="V150" s="301"/>
      <c r="W150" s="53"/>
      <c r="X150" s="53"/>
      <c r="Y150" s="53"/>
      <c r="Z150" s="53"/>
      <c r="AA150" s="53"/>
      <c r="AB150" s="53"/>
      <c r="AC150" s="53"/>
      <c r="AD150" s="24">
        <f>C150+D150-Q150</f>
        <v>0</v>
      </c>
      <c r="AH150" s="92"/>
    </row>
    <row r="151" spans="1:35" ht="39" hidden="1" customHeight="1">
      <c r="A151" s="50" t="s">
        <v>92</v>
      </c>
      <c r="B151" s="50"/>
      <c r="C151" s="30">
        <v>0</v>
      </c>
      <c r="D151" s="278"/>
      <c r="E151" s="278"/>
      <c r="F151" s="278"/>
      <c r="G151" s="278"/>
      <c r="H151" s="278"/>
      <c r="I151" s="278"/>
      <c r="J151" s="278"/>
      <c r="K151" s="23"/>
      <c r="L151" s="278"/>
      <c r="M151" s="278"/>
      <c r="N151" s="278"/>
      <c r="O151" s="278"/>
      <c r="P151" s="278"/>
      <c r="Q151" s="278"/>
      <c r="R151" s="53"/>
      <c r="S151" s="53"/>
      <c r="T151" s="53"/>
      <c r="U151" s="53"/>
      <c r="V151" s="301"/>
      <c r="W151" s="53"/>
      <c r="X151" s="53"/>
      <c r="Y151" s="53"/>
      <c r="Z151" s="53"/>
      <c r="AA151" s="53"/>
      <c r="AB151" s="53"/>
      <c r="AC151" s="53"/>
      <c r="AD151" s="54" t="s">
        <v>33</v>
      </c>
      <c r="AH151" s="92"/>
    </row>
    <row r="152" spans="1:35" ht="9.75" hidden="1" customHeight="1">
      <c r="A152" s="49">
        <v>340</v>
      </c>
      <c r="B152" s="49"/>
      <c r="C152" s="30">
        <v>0</v>
      </c>
      <c r="D152" s="282">
        <f>D153</f>
        <v>0</v>
      </c>
      <c r="E152" s="282"/>
      <c r="F152" s="282"/>
      <c r="G152" s="282"/>
      <c r="H152" s="282"/>
      <c r="I152" s="282"/>
      <c r="J152" s="282"/>
      <c r="K152" s="24"/>
      <c r="L152" s="282"/>
      <c r="M152" s="282"/>
      <c r="N152" s="282"/>
      <c r="O152" s="282"/>
      <c r="P152" s="282"/>
      <c r="Q152" s="282">
        <f>Q153</f>
        <v>0</v>
      </c>
      <c r="R152" s="91"/>
      <c r="S152" s="91"/>
      <c r="T152" s="91"/>
      <c r="U152" s="91"/>
      <c r="V152" s="425"/>
      <c r="W152" s="91"/>
      <c r="X152" s="91"/>
      <c r="Y152" s="91"/>
      <c r="Z152" s="91"/>
      <c r="AA152" s="91"/>
      <c r="AB152" s="91"/>
      <c r="AC152" s="91"/>
      <c r="AD152" s="24">
        <f>C152+D152-Q152</f>
        <v>0</v>
      </c>
      <c r="AH152" s="92"/>
    </row>
    <row r="153" spans="1:35" ht="30" hidden="1" customHeight="1">
      <c r="A153" s="50" t="s">
        <v>93</v>
      </c>
      <c r="B153" s="50"/>
      <c r="C153" s="30">
        <v>0</v>
      </c>
      <c r="D153" s="278"/>
      <c r="E153" s="278"/>
      <c r="F153" s="278"/>
      <c r="G153" s="278"/>
      <c r="H153" s="278"/>
      <c r="I153" s="278"/>
      <c r="J153" s="278"/>
      <c r="K153" s="23"/>
      <c r="L153" s="278"/>
      <c r="M153" s="278"/>
      <c r="N153" s="278"/>
      <c r="O153" s="278"/>
      <c r="P153" s="278"/>
      <c r="Q153" s="278"/>
      <c r="R153" s="53"/>
      <c r="S153" s="53"/>
      <c r="T153" s="53"/>
      <c r="U153" s="53"/>
      <c r="V153" s="301"/>
      <c r="W153" s="53"/>
      <c r="X153" s="53"/>
      <c r="Y153" s="53"/>
      <c r="Z153" s="53"/>
      <c r="AA153" s="53"/>
      <c r="AB153" s="53"/>
      <c r="AC153" s="53"/>
      <c r="AD153" s="54" t="s">
        <v>33</v>
      </c>
      <c r="AH153" s="92"/>
    </row>
    <row r="154" spans="1:35" ht="18.75">
      <c r="A154" s="562" t="s">
        <v>94</v>
      </c>
      <c r="B154" s="562"/>
      <c r="C154" s="563">
        <v>0</v>
      </c>
      <c r="D154" s="564">
        <f>D135+D147</f>
        <v>124875</v>
      </c>
      <c r="E154" s="564">
        <f t="shared" ref="E154:P154" si="52">E135+E147</f>
        <v>0</v>
      </c>
      <c r="F154" s="564">
        <f t="shared" si="52"/>
        <v>9128</v>
      </c>
      <c r="G154" s="564">
        <f t="shared" si="52"/>
        <v>-6548</v>
      </c>
      <c r="H154" s="564">
        <f>H135+H147</f>
        <v>1290</v>
      </c>
      <c r="I154" s="564">
        <f t="shared" si="52"/>
        <v>0</v>
      </c>
      <c r="J154" s="564">
        <f t="shared" si="52"/>
        <v>0</v>
      </c>
      <c r="K154" s="565">
        <f>K135+K147</f>
        <v>0</v>
      </c>
      <c r="L154" s="564">
        <f>L135+L147</f>
        <v>0</v>
      </c>
      <c r="M154" s="564">
        <f t="shared" si="52"/>
        <v>0</v>
      </c>
      <c r="N154" s="564">
        <f t="shared" si="52"/>
        <v>0</v>
      </c>
      <c r="O154" s="564">
        <f>O135+O147</f>
        <v>0</v>
      </c>
      <c r="P154" s="564">
        <f t="shared" si="52"/>
        <v>0</v>
      </c>
      <c r="Q154" s="564">
        <f>Q135+Q147</f>
        <v>3870</v>
      </c>
      <c r="R154" s="564">
        <f t="shared" ref="R154:AC154" si="53">R135+R147</f>
        <v>0</v>
      </c>
      <c r="S154" s="564">
        <f t="shared" si="53"/>
        <v>9128</v>
      </c>
      <c r="T154" s="564">
        <f t="shared" si="53"/>
        <v>-6548</v>
      </c>
      <c r="U154" s="564">
        <f t="shared" si="53"/>
        <v>1290</v>
      </c>
      <c r="V154" s="564">
        <f t="shared" si="53"/>
        <v>0</v>
      </c>
      <c r="W154" s="564">
        <f t="shared" si="53"/>
        <v>0</v>
      </c>
      <c r="X154" s="564">
        <f t="shared" si="53"/>
        <v>0</v>
      </c>
      <c r="Y154" s="564">
        <f t="shared" si="53"/>
        <v>0</v>
      </c>
      <c r="Z154" s="564">
        <f t="shared" si="53"/>
        <v>0</v>
      </c>
      <c r="AA154" s="564">
        <f t="shared" si="53"/>
        <v>0</v>
      </c>
      <c r="AB154" s="564">
        <f t="shared" si="53"/>
        <v>0</v>
      </c>
      <c r="AC154" s="564">
        <f t="shared" si="53"/>
        <v>0</v>
      </c>
      <c r="AD154" s="564">
        <f>AD135+AD147+AD152</f>
        <v>121005</v>
      </c>
      <c r="AG154" s="20"/>
      <c r="AH154" s="92"/>
    </row>
    <row r="155" spans="1:35" ht="18.75">
      <c r="A155" s="8"/>
      <c r="B155" s="8"/>
      <c r="C155" s="93"/>
      <c r="D155" s="315"/>
      <c r="E155" s="315"/>
      <c r="F155" s="315"/>
      <c r="G155" s="315"/>
      <c r="H155" s="315"/>
      <c r="I155" s="315"/>
      <c r="J155" s="315"/>
      <c r="K155" s="94"/>
      <c r="L155" s="315"/>
      <c r="M155" s="315"/>
      <c r="N155" s="315"/>
      <c r="O155" s="315"/>
      <c r="P155" s="315"/>
      <c r="Q155" s="315"/>
      <c r="R155" s="315"/>
      <c r="S155" s="94"/>
      <c r="T155" s="94"/>
      <c r="U155" s="94"/>
      <c r="V155" s="315"/>
      <c r="W155" s="94"/>
      <c r="X155" s="94"/>
      <c r="Y155" s="94"/>
      <c r="Z155" s="94"/>
      <c r="AA155" s="94"/>
      <c r="AB155" s="94"/>
      <c r="AC155" s="94"/>
      <c r="AD155" s="95"/>
      <c r="AH155" s="92"/>
      <c r="AI155" s="8"/>
    </row>
    <row r="156" spans="1:35" ht="18.75">
      <c r="A156" s="96" t="s">
        <v>95</v>
      </c>
      <c r="B156" s="96"/>
      <c r="C156" s="30">
        <f t="shared" ref="C156:AD156" si="54">C64</f>
        <v>0</v>
      </c>
      <c r="D156" s="288">
        <f t="shared" si="54"/>
        <v>23234005.030000001</v>
      </c>
      <c r="E156" s="282">
        <f t="shared" si="54"/>
        <v>258684.82</v>
      </c>
      <c r="F156" s="282">
        <f t="shared" si="54"/>
        <v>1693115.5899999999</v>
      </c>
      <c r="G156" s="282">
        <f t="shared" si="54"/>
        <v>1574839.41</v>
      </c>
      <c r="H156" s="282">
        <f t="shared" si="54"/>
        <v>2582156.4900000002</v>
      </c>
      <c r="I156" s="282">
        <f t="shared" si="54"/>
        <v>0</v>
      </c>
      <c r="J156" s="282">
        <f t="shared" si="54"/>
        <v>0</v>
      </c>
      <c r="K156" s="24">
        <f t="shared" si="54"/>
        <v>0</v>
      </c>
      <c r="L156" s="282">
        <f t="shared" si="54"/>
        <v>0</v>
      </c>
      <c r="M156" s="282">
        <f t="shared" si="54"/>
        <v>0</v>
      </c>
      <c r="N156" s="282">
        <f t="shared" si="54"/>
        <v>0</v>
      </c>
      <c r="O156" s="282">
        <f t="shared" si="54"/>
        <v>0</v>
      </c>
      <c r="P156" s="282">
        <f t="shared" si="54"/>
        <v>0</v>
      </c>
      <c r="Q156" s="282">
        <f t="shared" si="54"/>
        <v>5295309.46</v>
      </c>
      <c r="R156" s="282">
        <f t="shared" si="54"/>
        <v>258684.31000000006</v>
      </c>
      <c r="S156" s="24">
        <f t="shared" si="54"/>
        <v>1654300.2</v>
      </c>
      <c r="T156" s="24">
        <f t="shared" si="54"/>
        <v>1606655.17</v>
      </c>
      <c r="U156" s="282">
        <f t="shared" si="54"/>
        <v>1775669.7799999998</v>
      </c>
      <c r="V156" s="282">
        <f t="shared" si="54"/>
        <v>0</v>
      </c>
      <c r="W156" s="282">
        <f t="shared" si="54"/>
        <v>0</v>
      </c>
      <c r="X156" s="24">
        <f t="shared" si="54"/>
        <v>0</v>
      </c>
      <c r="Y156" s="24">
        <f t="shared" si="54"/>
        <v>0</v>
      </c>
      <c r="Z156" s="282">
        <f t="shared" si="54"/>
        <v>0</v>
      </c>
      <c r="AA156" s="282">
        <f t="shared" si="54"/>
        <v>0</v>
      </c>
      <c r="AB156" s="282">
        <f t="shared" si="54"/>
        <v>0</v>
      </c>
      <c r="AC156" s="24">
        <f t="shared" si="54"/>
        <v>0</v>
      </c>
      <c r="AD156" s="282">
        <f t="shared" si="54"/>
        <v>17938695.57</v>
      </c>
      <c r="AE156" s="20"/>
      <c r="AH156" s="92"/>
    </row>
    <row r="157" spans="1:35" ht="18.75">
      <c r="A157" s="97" t="s">
        <v>96</v>
      </c>
      <c r="B157" s="97"/>
      <c r="C157" s="30">
        <f>C122</f>
        <v>378821.42</v>
      </c>
      <c r="D157" s="288">
        <f>D122+D154</f>
        <v>15951206.940000001</v>
      </c>
      <c r="E157" s="282">
        <f t="shared" ref="E157:AC157" si="55">E122+E154</f>
        <v>88577.45</v>
      </c>
      <c r="F157" s="282">
        <f t="shared" si="55"/>
        <v>601735.85</v>
      </c>
      <c r="G157" s="282">
        <f t="shared" si="55"/>
        <v>691679.37000000011</v>
      </c>
      <c r="H157" s="282">
        <f t="shared" si="55"/>
        <v>525115.38</v>
      </c>
      <c r="I157" s="282">
        <f t="shared" si="55"/>
        <v>0</v>
      </c>
      <c r="J157" s="282">
        <f t="shared" si="55"/>
        <v>0</v>
      </c>
      <c r="K157" s="24">
        <f t="shared" si="55"/>
        <v>0</v>
      </c>
      <c r="L157" s="282">
        <f t="shared" si="55"/>
        <v>0</v>
      </c>
      <c r="M157" s="282">
        <f t="shared" si="55"/>
        <v>0</v>
      </c>
      <c r="N157" s="282">
        <f t="shared" si="55"/>
        <v>0</v>
      </c>
      <c r="O157" s="282">
        <f>O122+O154</f>
        <v>0</v>
      </c>
      <c r="P157" s="282">
        <f t="shared" si="55"/>
        <v>0</v>
      </c>
      <c r="Q157" s="282">
        <f t="shared" si="55"/>
        <v>1822143.24</v>
      </c>
      <c r="R157" s="282">
        <f t="shared" si="55"/>
        <v>88577.19</v>
      </c>
      <c r="S157" s="282">
        <f t="shared" si="55"/>
        <v>614000.11</v>
      </c>
      <c r="T157" s="282">
        <f t="shared" si="55"/>
        <v>682714.52</v>
      </c>
      <c r="U157" s="282">
        <f t="shared" si="55"/>
        <v>436851.42</v>
      </c>
      <c r="V157" s="282">
        <f t="shared" si="55"/>
        <v>0</v>
      </c>
      <c r="W157" s="282">
        <f t="shared" si="55"/>
        <v>0</v>
      </c>
      <c r="X157" s="282">
        <f t="shared" si="55"/>
        <v>0</v>
      </c>
      <c r="Y157" s="282">
        <f t="shared" si="55"/>
        <v>0</v>
      </c>
      <c r="Z157" s="282">
        <f t="shared" si="55"/>
        <v>0</v>
      </c>
      <c r="AA157" s="282">
        <f t="shared" si="55"/>
        <v>0</v>
      </c>
      <c r="AB157" s="282">
        <f t="shared" si="55"/>
        <v>0</v>
      </c>
      <c r="AC157" s="24">
        <f t="shared" si="55"/>
        <v>0</v>
      </c>
      <c r="AD157" s="282">
        <f>AD122+AD132+AD154</f>
        <v>11839270.399999999</v>
      </c>
      <c r="AE157" s="20"/>
      <c r="AH157" s="92"/>
    </row>
    <row r="158" spans="1:35" s="220" customFormat="1" ht="18.600000000000001" customHeight="1">
      <c r="A158" s="218" t="s">
        <v>97</v>
      </c>
      <c r="B158" s="218"/>
      <c r="C158" s="219">
        <f>C156+C157</f>
        <v>378821.42</v>
      </c>
      <c r="D158" s="316">
        <f>D156+D157</f>
        <v>39185211.969999999</v>
      </c>
      <c r="E158" s="316">
        <f t="shared" ref="E158:AC158" si="56">E156+E157</f>
        <v>347262.27</v>
      </c>
      <c r="F158" s="316">
        <f t="shared" si="56"/>
        <v>2294851.44</v>
      </c>
      <c r="G158" s="316">
        <f t="shared" si="56"/>
        <v>2266518.7800000003</v>
      </c>
      <c r="H158" s="316">
        <f t="shared" si="56"/>
        <v>3107271.87</v>
      </c>
      <c r="I158" s="316">
        <f t="shared" si="56"/>
        <v>0</v>
      </c>
      <c r="J158" s="316">
        <f t="shared" si="56"/>
        <v>0</v>
      </c>
      <c r="K158" s="354">
        <f t="shared" si="56"/>
        <v>0</v>
      </c>
      <c r="L158" s="316">
        <f t="shared" si="56"/>
        <v>0</v>
      </c>
      <c r="M158" s="316">
        <f t="shared" si="56"/>
        <v>0</v>
      </c>
      <c r="N158" s="316">
        <f t="shared" si="56"/>
        <v>0</v>
      </c>
      <c r="O158" s="316">
        <f>O156+O157</f>
        <v>0</v>
      </c>
      <c r="P158" s="316">
        <f t="shared" si="56"/>
        <v>0</v>
      </c>
      <c r="Q158" s="316">
        <f>Q156+Q157</f>
        <v>7117452.7000000002</v>
      </c>
      <c r="R158" s="316">
        <f t="shared" si="56"/>
        <v>347261.50000000006</v>
      </c>
      <c r="S158" s="316">
        <f t="shared" si="56"/>
        <v>2268300.31</v>
      </c>
      <c r="T158" s="316">
        <f t="shared" si="56"/>
        <v>2289369.69</v>
      </c>
      <c r="U158" s="316">
        <f t="shared" si="56"/>
        <v>2212521.1999999997</v>
      </c>
      <c r="V158" s="316">
        <f>V156+V157</f>
        <v>0</v>
      </c>
      <c r="W158" s="316">
        <f t="shared" si="56"/>
        <v>0</v>
      </c>
      <c r="X158" s="316">
        <f t="shared" si="56"/>
        <v>0</v>
      </c>
      <c r="Y158" s="316">
        <f t="shared" si="56"/>
        <v>0</v>
      </c>
      <c r="Z158" s="316">
        <f t="shared" si="56"/>
        <v>0</v>
      </c>
      <c r="AA158" s="316">
        <f t="shared" si="56"/>
        <v>0</v>
      </c>
      <c r="AB158" s="316">
        <f>AB156+AB157</f>
        <v>0</v>
      </c>
      <c r="AC158" s="316">
        <f t="shared" si="56"/>
        <v>0</v>
      </c>
      <c r="AD158" s="316">
        <f>AD156+AD157</f>
        <v>29777965.969999999</v>
      </c>
      <c r="AE158" s="20"/>
      <c r="AH158" s="221"/>
      <c r="AI158" s="222"/>
    </row>
    <row r="159" spans="1:35" ht="18.75" hidden="1">
      <c r="A159" s="98" t="s">
        <v>98</v>
      </c>
      <c r="B159" s="98"/>
      <c r="C159" s="86">
        <f>C25+C40+C72</f>
        <v>0</v>
      </c>
      <c r="D159" s="313">
        <f>D25+D40+D72</f>
        <v>0</v>
      </c>
      <c r="E159" s="313"/>
      <c r="F159" s="313"/>
      <c r="G159" s="313"/>
      <c r="H159" s="313"/>
      <c r="I159" s="313"/>
      <c r="J159" s="313"/>
      <c r="K159" s="353"/>
      <c r="L159" s="313"/>
      <c r="M159" s="313"/>
      <c r="N159" s="313"/>
      <c r="O159" s="313"/>
      <c r="P159" s="313"/>
      <c r="Q159" s="313">
        <f>Q25+Q40+Q72</f>
        <v>0</v>
      </c>
      <c r="R159" s="86"/>
      <c r="S159" s="86"/>
      <c r="T159" s="86"/>
      <c r="U159" s="86"/>
      <c r="V159" s="86"/>
      <c r="W159" s="86"/>
      <c r="X159" s="353"/>
      <c r="Y159" s="86"/>
      <c r="Z159" s="86"/>
      <c r="AA159" s="86"/>
      <c r="AB159" s="86"/>
      <c r="AC159" s="86"/>
      <c r="AD159" s="99">
        <f>AD25+AD40+AD72</f>
        <v>0</v>
      </c>
      <c r="AH159" s="92"/>
    </row>
    <row r="160" spans="1:35" hidden="1">
      <c r="A160" s="8"/>
      <c r="B160" s="8"/>
      <c r="D160" s="317"/>
      <c r="E160" s="317"/>
      <c r="F160" s="317"/>
      <c r="G160" s="317"/>
      <c r="H160" s="317"/>
      <c r="I160" s="317"/>
      <c r="J160" s="317"/>
      <c r="K160" s="355"/>
      <c r="L160" s="317"/>
      <c r="M160" s="317"/>
      <c r="N160" s="317"/>
      <c r="O160" s="317"/>
      <c r="P160" s="317"/>
      <c r="Q160" s="318"/>
      <c r="R160" s="100"/>
      <c r="S160" s="100"/>
      <c r="T160" s="100"/>
      <c r="U160" s="100"/>
      <c r="V160" s="100"/>
      <c r="W160" s="100"/>
      <c r="X160" s="368"/>
      <c r="Y160" s="100"/>
      <c r="Z160" s="100"/>
      <c r="AA160" s="100"/>
      <c r="AB160" s="100"/>
      <c r="AC160" s="100"/>
      <c r="AE160" s="101"/>
      <c r="AF160" s="20"/>
      <c r="AH160" s="92"/>
    </row>
    <row r="161" spans="1:38" ht="21.6" customHeight="1">
      <c r="A161" s="102" t="s">
        <v>99</v>
      </c>
      <c r="B161" s="102"/>
      <c r="D161" s="319"/>
      <c r="E161" s="319"/>
      <c r="F161" s="319"/>
      <c r="G161" s="319"/>
      <c r="H161" s="319"/>
      <c r="I161" s="319"/>
      <c r="J161" s="319"/>
      <c r="K161" s="356"/>
      <c r="L161" s="319"/>
      <c r="M161" s="319"/>
      <c r="N161" s="319"/>
      <c r="O161" s="319"/>
      <c r="P161" s="319"/>
      <c r="AG161" s="690"/>
      <c r="AH161" s="426"/>
    </row>
    <row r="162" spans="1:38" ht="20.45" customHeight="1">
      <c r="A162" s="1" t="s">
        <v>100</v>
      </c>
      <c r="AH162" s="92"/>
    </row>
    <row r="163" spans="1:38" ht="20.45" customHeight="1">
      <c r="A163" s="570">
        <v>130</v>
      </c>
      <c r="B163" s="103"/>
      <c r="C163" s="104">
        <f>D181</f>
        <v>3940585.93</v>
      </c>
      <c r="D163" s="330"/>
      <c r="E163" s="320"/>
      <c r="F163" s="320"/>
      <c r="G163" s="320"/>
      <c r="H163" s="321"/>
      <c r="I163" s="321"/>
      <c r="J163" s="320"/>
      <c r="K163" s="333" t="s">
        <v>150</v>
      </c>
      <c r="L163" s="357" t="s">
        <v>150</v>
      </c>
      <c r="M163" s="333"/>
      <c r="N163" s="320"/>
      <c r="O163" s="320" t="s">
        <v>150</v>
      </c>
      <c r="P163" s="320" t="s">
        <v>150</v>
      </c>
      <c r="Q163" s="384"/>
      <c r="AG163" s="20"/>
      <c r="AI163" s="20"/>
      <c r="AJ163" s="105"/>
    </row>
    <row r="164" spans="1:38" ht="21" hidden="1" customHeight="1">
      <c r="A164" s="570">
        <v>150</v>
      </c>
      <c r="B164" s="103"/>
      <c r="C164" s="104"/>
      <c r="D164" s="331"/>
      <c r="E164" s="320"/>
      <c r="F164" s="320"/>
      <c r="G164" s="320"/>
      <c r="H164" s="320"/>
      <c r="I164" s="320"/>
      <c r="J164" s="320"/>
      <c r="K164" s="357"/>
      <c r="L164" s="320"/>
      <c r="M164" s="320"/>
      <c r="N164" s="320"/>
      <c r="O164" s="320"/>
      <c r="P164" s="320"/>
      <c r="AG164" s="712"/>
      <c r="AH164" s="712"/>
      <c r="AI164"/>
      <c r="AJ164" s="105"/>
    </row>
    <row r="165" spans="1:38" ht="22.9" customHeight="1">
      <c r="A165" s="570">
        <v>150</v>
      </c>
      <c r="B165" s="103"/>
      <c r="C165" s="104">
        <f>D169+D171+D172</f>
        <v>0</v>
      </c>
      <c r="D165" s="332" t="s">
        <v>198</v>
      </c>
      <c r="E165" s="322"/>
      <c r="F165" s="322"/>
      <c r="G165" s="322"/>
      <c r="H165" s="322"/>
      <c r="I165" s="322"/>
      <c r="J165" s="322"/>
      <c r="K165" s="332"/>
      <c r="L165" s="322"/>
      <c r="M165" s="322"/>
      <c r="N165" s="322"/>
      <c r="O165" s="322"/>
      <c r="P165" s="322"/>
      <c r="AG165" s="240"/>
      <c r="AI165"/>
    </row>
    <row r="166" spans="1:38" ht="24" customHeight="1">
      <c r="A166" s="566" t="s">
        <v>94</v>
      </c>
      <c r="B166" s="566"/>
      <c r="C166" s="569">
        <f>SUM(C163:C165)</f>
        <v>3940585.93</v>
      </c>
      <c r="D166" s="323"/>
      <c r="E166" s="323"/>
      <c r="F166" s="323"/>
      <c r="G166" s="323"/>
      <c r="H166" s="323"/>
      <c r="I166" s="323"/>
      <c r="J166" s="323"/>
      <c r="K166" s="358"/>
      <c r="L166" s="323"/>
      <c r="M166" s="323"/>
      <c r="N166" s="323"/>
      <c r="O166" s="323"/>
      <c r="P166" s="323"/>
      <c r="AF166" s="712"/>
      <c r="AG166" s="712"/>
      <c r="AH166" s="108"/>
      <c r="AI166"/>
    </row>
    <row r="167" spans="1:38" ht="19.350000000000001" customHeight="1">
      <c r="AG167" s="690"/>
      <c r="AI167"/>
    </row>
    <row r="168" spans="1:38" ht="43.5" customHeight="1">
      <c r="A168" s="103"/>
      <c r="B168" s="555" t="s">
        <v>209</v>
      </c>
      <c r="C168" s="146" t="s">
        <v>241</v>
      </c>
      <c r="D168" s="386" t="s">
        <v>5</v>
      </c>
      <c r="E168" s="324" t="s">
        <v>109</v>
      </c>
      <c r="F168" s="324" t="s">
        <v>110</v>
      </c>
      <c r="G168" s="324" t="s">
        <v>111</v>
      </c>
      <c r="H168" s="324" t="s">
        <v>112</v>
      </c>
      <c r="I168" s="324" t="s">
        <v>113</v>
      </c>
      <c r="J168" s="324" t="s">
        <v>114</v>
      </c>
      <c r="K168" s="359" t="s">
        <v>115</v>
      </c>
      <c r="L168" s="324" t="s">
        <v>116</v>
      </c>
      <c r="M168" s="324" t="s">
        <v>117</v>
      </c>
      <c r="N168" s="324" t="s">
        <v>118</v>
      </c>
      <c r="O168" s="324" t="s">
        <v>119</v>
      </c>
      <c r="P168" s="324" t="s">
        <v>120</v>
      </c>
      <c r="Q168" s="386" t="s">
        <v>6</v>
      </c>
      <c r="R168" s="324" t="s">
        <v>109</v>
      </c>
      <c r="S168" s="324" t="s">
        <v>110</v>
      </c>
      <c r="T168" s="324" t="s">
        <v>111</v>
      </c>
      <c r="U168" s="324" t="s">
        <v>112</v>
      </c>
      <c r="V168" s="324" t="s">
        <v>113</v>
      </c>
      <c r="W168" s="324" t="s">
        <v>114</v>
      </c>
      <c r="X168" s="359" t="s">
        <v>115</v>
      </c>
      <c r="Y168" s="324" t="s">
        <v>116</v>
      </c>
      <c r="Z168" s="324" t="s">
        <v>117</v>
      </c>
      <c r="AA168" s="324" t="s">
        <v>118</v>
      </c>
      <c r="AB168" s="324" t="s">
        <v>163</v>
      </c>
      <c r="AC168" s="324" t="s">
        <v>120</v>
      </c>
      <c r="AD168" s="396" t="str">
        <f>AD5</f>
        <v>остаток на 01.06.2020</v>
      </c>
      <c r="AF168" s="8"/>
      <c r="AG168" s="577"/>
      <c r="AH168" s="577"/>
      <c r="AI168"/>
    </row>
    <row r="169" spans="1:38" ht="18.75">
      <c r="A169" s="103">
        <v>291</v>
      </c>
      <c r="B169" s="103">
        <v>851</v>
      </c>
      <c r="C169" s="110"/>
      <c r="D169" s="278">
        <v>0</v>
      </c>
      <c r="E169" s="278"/>
      <c r="F169" s="278"/>
      <c r="G169" s="278"/>
      <c r="H169" s="278"/>
      <c r="I169" s="278"/>
      <c r="J169" s="278"/>
      <c r="K169" s="23"/>
      <c r="L169" s="278"/>
      <c r="M169" s="278"/>
      <c r="N169" s="278"/>
      <c r="O169" s="278"/>
      <c r="P169" s="278"/>
      <c r="Q169" s="295">
        <f>SUM(R169:AC169)</f>
        <v>0</v>
      </c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68"/>
      <c r="AD169" s="24">
        <f t="shared" ref="AD169:AD179" si="57">C169+D169-Q169</f>
        <v>0</v>
      </c>
      <c r="AF169" s="8"/>
      <c r="AG169" s="578"/>
      <c r="AH169" s="8"/>
      <c r="AI169" s="420"/>
      <c r="AJ169" s="20"/>
      <c r="AL169" s="20"/>
    </row>
    <row r="170" spans="1:38" ht="18.75">
      <c r="A170" s="103">
        <v>292</v>
      </c>
      <c r="B170" s="103">
        <v>853</v>
      </c>
      <c r="C170" s="110"/>
      <c r="D170" s="315">
        <v>0</v>
      </c>
      <c r="E170" s="278"/>
      <c r="F170" s="278"/>
      <c r="G170" s="278"/>
      <c r="H170" s="278"/>
      <c r="I170" s="278"/>
      <c r="J170" s="278"/>
      <c r="K170" s="23"/>
      <c r="L170" s="278"/>
      <c r="M170" s="278"/>
      <c r="N170" s="278"/>
      <c r="O170" s="278"/>
      <c r="P170" s="278"/>
      <c r="Q170" s="295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68"/>
      <c r="AD170" s="24"/>
      <c r="AF170" s="8"/>
      <c r="AG170" s="578"/>
      <c r="AH170" s="8"/>
      <c r="AI170" s="420"/>
      <c r="AJ170" s="20"/>
      <c r="AL170" s="20"/>
    </row>
    <row r="171" spans="1:38" ht="18.75">
      <c r="A171" s="103">
        <v>226</v>
      </c>
      <c r="B171" s="103">
        <v>244</v>
      </c>
      <c r="C171" s="22"/>
      <c r="D171" s="295">
        <v>0</v>
      </c>
      <c r="E171" s="304"/>
      <c r="F171" s="304"/>
      <c r="G171" s="304"/>
      <c r="H171" s="304"/>
      <c r="I171" s="304"/>
      <c r="J171" s="304"/>
      <c r="K171" s="70"/>
      <c r="L171" s="304"/>
      <c r="M171" s="304"/>
      <c r="N171" s="304"/>
      <c r="O171" s="304"/>
      <c r="P171" s="304"/>
      <c r="Q171" s="295">
        <f>SUM(R171:AC171)</f>
        <v>0</v>
      </c>
      <c r="R171" s="70"/>
      <c r="S171" s="70"/>
      <c r="T171" s="70"/>
      <c r="U171" s="70"/>
      <c r="V171" s="70"/>
      <c r="W171" s="70"/>
      <c r="X171" s="70"/>
      <c r="Y171" s="70"/>
      <c r="Z171" s="70"/>
      <c r="AA171" s="304"/>
      <c r="AB171" s="70"/>
      <c r="AC171" s="70"/>
      <c r="AD171" s="24">
        <f t="shared" si="57"/>
        <v>0</v>
      </c>
      <c r="AF171" s="8"/>
      <c r="AG171" s="8"/>
      <c r="AH171" s="8"/>
      <c r="AI171" s="105"/>
      <c r="AJ171" s="20"/>
      <c r="AL171" s="20"/>
    </row>
    <row r="172" spans="1:38" ht="18.75">
      <c r="A172" s="103">
        <v>295</v>
      </c>
      <c r="B172" s="103">
        <v>853</v>
      </c>
      <c r="C172" s="22"/>
      <c r="D172" s="295">
        <v>0</v>
      </c>
      <c r="E172" s="278"/>
      <c r="F172" s="278"/>
      <c r="G172" s="278"/>
      <c r="H172" s="278"/>
      <c r="I172" s="278"/>
      <c r="J172" s="278"/>
      <c r="K172" s="23"/>
      <c r="L172" s="278"/>
      <c r="M172" s="278"/>
      <c r="N172" s="278"/>
      <c r="O172" s="278"/>
      <c r="P172" s="278"/>
      <c r="Q172" s="302">
        <f>SUM(S172)</f>
        <v>0</v>
      </c>
      <c r="R172" s="68"/>
      <c r="S172" s="302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24">
        <f t="shared" si="57"/>
        <v>0</v>
      </c>
      <c r="AF172" s="8"/>
      <c r="AG172" s="8"/>
      <c r="AH172" s="8"/>
      <c r="AI172" s="105"/>
      <c r="AJ172" s="20"/>
      <c r="AL172" s="20"/>
    </row>
    <row r="173" spans="1:38" ht="18.75" hidden="1">
      <c r="A173" s="103">
        <v>221</v>
      </c>
      <c r="B173" s="103"/>
      <c r="C173" s="22"/>
      <c r="D173" s="295"/>
      <c r="E173" s="304"/>
      <c r="F173" s="304"/>
      <c r="G173" s="304"/>
      <c r="H173" s="304"/>
      <c r="I173" s="304"/>
      <c r="J173" s="304"/>
      <c r="K173" s="70"/>
      <c r="L173" s="304"/>
      <c r="M173" s="304"/>
      <c r="N173" s="304"/>
      <c r="O173" s="304"/>
      <c r="P173" s="304"/>
      <c r="Q173" s="304"/>
      <c r="R173" s="70"/>
      <c r="S173" s="304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24">
        <f t="shared" si="57"/>
        <v>0</v>
      </c>
      <c r="AF173" s="8"/>
      <c r="AG173" s="8"/>
      <c r="AH173" s="8"/>
      <c r="AI173" s="105"/>
      <c r="AJ173" s="20"/>
      <c r="AL173" s="20"/>
    </row>
    <row r="174" spans="1:38" ht="18.75" hidden="1">
      <c r="A174" s="103">
        <v>222</v>
      </c>
      <c r="B174" s="103"/>
      <c r="C174" s="22"/>
      <c r="D174" s="295"/>
      <c r="E174" s="304"/>
      <c r="F174" s="304"/>
      <c r="G174" s="304"/>
      <c r="H174" s="304"/>
      <c r="I174" s="304"/>
      <c r="J174" s="304"/>
      <c r="K174" s="70"/>
      <c r="L174" s="304"/>
      <c r="M174" s="304"/>
      <c r="N174" s="304"/>
      <c r="O174" s="304"/>
      <c r="P174" s="304"/>
      <c r="Q174" s="304"/>
      <c r="R174" s="70"/>
      <c r="S174" s="304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24">
        <f t="shared" si="57"/>
        <v>0</v>
      </c>
      <c r="AF174" s="8"/>
      <c r="AG174" s="8"/>
      <c r="AH174" s="8"/>
      <c r="AI174" s="105"/>
      <c r="AJ174" s="20"/>
      <c r="AL174" s="20"/>
    </row>
    <row r="175" spans="1:38" ht="18.75" hidden="1">
      <c r="A175" s="103">
        <v>223</v>
      </c>
      <c r="B175" s="103"/>
      <c r="C175" s="22"/>
      <c r="D175" s="295"/>
      <c r="E175" s="304"/>
      <c r="F175" s="304"/>
      <c r="G175" s="304"/>
      <c r="H175" s="304"/>
      <c r="I175" s="304"/>
      <c r="J175" s="304"/>
      <c r="K175" s="70"/>
      <c r="L175" s="304"/>
      <c r="M175" s="304"/>
      <c r="N175" s="304"/>
      <c r="O175" s="304"/>
      <c r="P175" s="304"/>
      <c r="Q175" s="278"/>
      <c r="R175" s="23"/>
      <c r="S175" s="278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4">
        <f t="shared" si="57"/>
        <v>0</v>
      </c>
      <c r="AF175" s="8"/>
      <c r="AG175" s="8"/>
      <c r="AH175" s="8"/>
      <c r="AI175" s="105"/>
      <c r="AJ175" s="20"/>
      <c r="AL175" s="20"/>
    </row>
    <row r="176" spans="1:38" ht="18.75" hidden="1">
      <c r="A176" s="103">
        <v>225</v>
      </c>
      <c r="B176" s="103"/>
      <c r="C176" s="43"/>
      <c r="D176" s="295"/>
      <c r="E176" s="278"/>
      <c r="F176" s="278"/>
      <c r="G176" s="278"/>
      <c r="H176" s="278"/>
      <c r="I176" s="278"/>
      <c r="J176" s="278"/>
      <c r="K176" s="23"/>
      <c r="L176" s="278"/>
      <c r="M176" s="278"/>
      <c r="N176" s="278"/>
      <c r="O176" s="278"/>
      <c r="P176" s="278"/>
      <c r="Q176" s="278"/>
      <c r="R176" s="23"/>
      <c r="S176" s="278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4">
        <f t="shared" si="57"/>
        <v>0</v>
      </c>
      <c r="AF176" s="8"/>
      <c r="AG176" s="8"/>
      <c r="AH176" s="8"/>
      <c r="AI176" s="105"/>
      <c r="AJ176" s="20"/>
      <c r="AL176" s="20"/>
    </row>
    <row r="177" spans="1:38" ht="18.75" hidden="1">
      <c r="A177" s="103">
        <v>226</v>
      </c>
      <c r="B177" s="103"/>
      <c r="C177" s="43"/>
      <c r="D177" s="295"/>
      <c r="E177" s="304"/>
      <c r="F177" s="304"/>
      <c r="G177" s="304"/>
      <c r="H177" s="304"/>
      <c r="I177" s="304"/>
      <c r="J177" s="304"/>
      <c r="K177" s="70"/>
      <c r="L177" s="304"/>
      <c r="M177" s="304"/>
      <c r="N177" s="304"/>
      <c r="O177" s="304"/>
      <c r="P177" s="304"/>
      <c r="Q177" s="304"/>
      <c r="R177" s="70"/>
      <c r="S177" s="304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24">
        <f t="shared" si="57"/>
        <v>0</v>
      </c>
      <c r="AF177" s="8"/>
      <c r="AG177" s="8"/>
      <c r="AH177" s="8"/>
      <c r="AI177" s="105"/>
      <c r="AJ177" s="20"/>
      <c r="AL177" s="20"/>
    </row>
    <row r="178" spans="1:38" ht="18.75" hidden="1">
      <c r="A178" s="111">
        <v>290</v>
      </c>
      <c r="B178" s="111"/>
      <c r="C178" s="110"/>
      <c r="D178" s="295"/>
      <c r="E178" s="302"/>
      <c r="F178" s="302"/>
      <c r="G178" s="302"/>
      <c r="H178" s="302"/>
      <c r="I178" s="302"/>
      <c r="J178" s="302"/>
      <c r="K178" s="68"/>
      <c r="L178" s="302"/>
      <c r="M178" s="302"/>
      <c r="N178" s="302"/>
      <c r="O178" s="302"/>
      <c r="P178" s="302"/>
      <c r="Q178" s="304"/>
      <c r="R178" s="70"/>
      <c r="S178" s="304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24">
        <f t="shared" si="57"/>
        <v>0</v>
      </c>
      <c r="AF178" s="8"/>
      <c r="AG178" s="8"/>
      <c r="AH178" s="8"/>
      <c r="AI178" s="105"/>
      <c r="AJ178" s="20"/>
      <c r="AL178" s="20"/>
    </row>
    <row r="179" spans="1:38" ht="8.25" hidden="1" customHeight="1">
      <c r="A179" s="103">
        <v>310</v>
      </c>
      <c r="B179" s="103"/>
      <c r="C179" s="22"/>
      <c r="D179" s="295"/>
      <c r="E179" s="304"/>
      <c r="F179" s="304"/>
      <c r="G179" s="304"/>
      <c r="H179" s="304"/>
      <c r="I179" s="304"/>
      <c r="J179" s="304"/>
      <c r="K179" s="70"/>
      <c r="L179" s="304"/>
      <c r="M179" s="304"/>
      <c r="N179" s="304"/>
      <c r="O179" s="304"/>
      <c r="P179" s="304"/>
      <c r="Q179" s="304"/>
      <c r="R179" s="70"/>
      <c r="S179" s="304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24">
        <f t="shared" si="57"/>
        <v>0</v>
      </c>
      <c r="AF179" s="8"/>
      <c r="AG179" s="8"/>
      <c r="AH179" s="8"/>
      <c r="AI179" s="105"/>
      <c r="AJ179" s="20"/>
      <c r="AL179" s="20"/>
    </row>
    <row r="180" spans="1:38" ht="18.75">
      <c r="A180" s="103">
        <v>342</v>
      </c>
      <c r="B180" s="103">
        <v>244</v>
      </c>
      <c r="C180" s="306">
        <v>468635.74</v>
      </c>
      <c r="D180" s="587">
        <v>3940585.93</v>
      </c>
      <c r="E180" s="278">
        <f>'январь 20'!B38</f>
        <v>369943.8</v>
      </c>
      <c r="F180" s="278">
        <f>'февраль 20'!B38</f>
        <v>391873.53</v>
      </c>
      <c r="G180" s="278">
        <f>'март 20'!B38</f>
        <v>339203.85</v>
      </c>
      <c r="H180" s="278">
        <f>'апрель 20'!B38</f>
        <v>3606.84</v>
      </c>
      <c r="I180" s="464"/>
      <c r="J180" s="278"/>
      <c r="K180" s="23"/>
      <c r="L180" s="23"/>
      <c r="M180" s="23"/>
      <c r="N180" s="23"/>
      <c r="O180" s="23"/>
      <c r="P180" s="23"/>
      <c r="Q180" s="295">
        <f>SUM(R180:AC180)</f>
        <v>877676.73</v>
      </c>
      <c r="R180" s="278">
        <f>'январь 20'!B53</f>
        <v>245796.25999999995</v>
      </c>
      <c r="S180" s="278">
        <f>'февраль 20'!B53</f>
        <v>306039.28000000003</v>
      </c>
      <c r="T180" s="278">
        <f>'март 20'!B53</f>
        <v>325841.18999999994</v>
      </c>
      <c r="U180" s="278">
        <f>'апрель 20'!B53</f>
        <v>0</v>
      </c>
      <c r="V180" s="278"/>
      <c r="W180" s="278"/>
      <c r="X180" s="23"/>
      <c r="Y180" s="23"/>
      <c r="Z180" s="23"/>
      <c r="AA180" s="23"/>
      <c r="AB180" s="23"/>
      <c r="AC180" s="23"/>
      <c r="AD180" s="282">
        <f>C180+D180-Q180</f>
        <v>3531544.94</v>
      </c>
      <c r="AE180" s="220"/>
      <c r="AF180" s="8"/>
      <c r="AG180" s="577"/>
      <c r="AH180" s="8"/>
      <c r="AI180" s="105"/>
      <c r="AJ180" s="20"/>
      <c r="AL180" s="20"/>
    </row>
    <row r="181" spans="1:38" ht="18.75">
      <c r="A181" s="566" t="s">
        <v>102</v>
      </c>
      <c r="B181" s="566"/>
      <c r="C181" s="567">
        <f>C176+C178+C180+C175+C174+C173+C172+C171+C169</f>
        <v>468635.74</v>
      </c>
      <c r="D181" s="567">
        <f>D169+D170+D171+D172+D180</f>
        <v>3940585.93</v>
      </c>
      <c r="E181" s="567">
        <f t="shared" ref="E181:AC181" si="58">E180+E172</f>
        <v>369943.8</v>
      </c>
      <c r="F181" s="567">
        <f t="shared" si="58"/>
        <v>391873.53</v>
      </c>
      <c r="G181" s="567">
        <f t="shared" si="58"/>
        <v>339203.85</v>
      </c>
      <c r="H181" s="567">
        <f>H180+H172</f>
        <v>3606.84</v>
      </c>
      <c r="I181" s="567">
        <f>I180+I172</f>
        <v>0</v>
      </c>
      <c r="J181" s="567">
        <f>J180+J172+J171</f>
        <v>0</v>
      </c>
      <c r="K181" s="568">
        <f>K180+K172</f>
        <v>0</v>
      </c>
      <c r="L181" s="567">
        <f>L180+L172+L171</f>
        <v>0</v>
      </c>
      <c r="M181" s="567">
        <f>M180+M172</f>
        <v>0</v>
      </c>
      <c r="N181" s="567">
        <f t="shared" si="58"/>
        <v>0</v>
      </c>
      <c r="O181" s="567">
        <f>O180+O172+O169</f>
        <v>0</v>
      </c>
      <c r="P181" s="567">
        <f t="shared" si="58"/>
        <v>0</v>
      </c>
      <c r="Q181" s="567">
        <f>Q180+Q172+Q171+Q169</f>
        <v>877676.73</v>
      </c>
      <c r="R181" s="567">
        <f t="shared" si="58"/>
        <v>245796.25999999995</v>
      </c>
      <c r="S181" s="568">
        <f>S180+S172</f>
        <v>306039.28000000003</v>
      </c>
      <c r="T181" s="567">
        <f t="shared" si="58"/>
        <v>325841.18999999994</v>
      </c>
      <c r="U181" s="567">
        <f>U180+U172</f>
        <v>0</v>
      </c>
      <c r="V181" s="567">
        <f t="shared" si="58"/>
        <v>0</v>
      </c>
      <c r="W181" s="567">
        <f>W180+W172+W171</f>
        <v>0</v>
      </c>
      <c r="X181" s="568">
        <f t="shared" si="58"/>
        <v>0</v>
      </c>
      <c r="Y181" s="567">
        <f t="shared" si="58"/>
        <v>0</v>
      </c>
      <c r="Z181" s="568">
        <f t="shared" si="58"/>
        <v>0</v>
      </c>
      <c r="AA181" s="567">
        <f>AA180+AA172+AA171</f>
        <v>0</v>
      </c>
      <c r="AB181" s="568">
        <f t="shared" si="58"/>
        <v>0</v>
      </c>
      <c r="AC181" s="568">
        <f t="shared" si="58"/>
        <v>0</v>
      </c>
      <c r="AD181" s="567">
        <f>'апрель 20'!D54</f>
        <v>238211.18000000008</v>
      </c>
      <c r="AE181" s="20"/>
      <c r="AF181" s="8"/>
      <c r="AG181" s="579"/>
      <c r="AH181" s="8"/>
      <c r="AJ181" s="20"/>
      <c r="AL181" s="20"/>
    </row>
    <row r="182" spans="1:38" ht="18" customHeight="1">
      <c r="D182" s="327"/>
      <c r="AE182" s="240"/>
      <c r="AF182" s="8"/>
      <c r="AG182" s="8"/>
      <c r="AH182" s="8"/>
    </row>
    <row r="183" spans="1:38" ht="18.75" customHeight="1">
      <c r="A183" s="3" t="s">
        <v>103</v>
      </c>
      <c r="B183" s="3"/>
      <c r="AE183" s="20"/>
      <c r="AF183" s="577"/>
      <c r="AG183" s="580"/>
      <c r="AH183" s="577"/>
    </row>
    <row r="184" spans="1:38" ht="21.6" customHeight="1">
      <c r="A184" s="418" t="s">
        <v>241</v>
      </c>
      <c r="B184" s="418"/>
      <c r="C184" s="407">
        <v>0</v>
      </c>
      <c r="D184" s="325"/>
      <c r="E184" s="325"/>
      <c r="F184" s="325"/>
      <c r="G184" s="325"/>
      <c r="H184" s="325"/>
      <c r="I184" s="325"/>
      <c r="J184" s="325"/>
      <c r="K184" s="360"/>
      <c r="L184" s="325"/>
      <c r="M184" s="325"/>
      <c r="N184" s="325"/>
      <c r="O184" s="325"/>
      <c r="P184" s="325"/>
      <c r="Q184" s="325"/>
      <c r="R184" s="113"/>
      <c r="S184" s="113"/>
      <c r="T184" s="113"/>
      <c r="U184" s="113"/>
      <c r="V184" s="113"/>
      <c r="W184" s="113"/>
      <c r="X184" s="360"/>
      <c r="Y184" s="113"/>
      <c r="Z184" s="113"/>
      <c r="AA184" s="113"/>
      <c r="AB184" s="113"/>
      <c r="AC184" s="113"/>
      <c r="AD184" s="114"/>
      <c r="AF184" s="8"/>
      <c r="AG184" s="579"/>
      <c r="AH184" s="8"/>
    </row>
    <row r="185" spans="1:38" ht="15.75" hidden="1" customHeight="1">
      <c r="A185" s="115">
        <v>180</v>
      </c>
      <c r="B185" s="115"/>
      <c r="C185" s="116">
        <v>1433.17</v>
      </c>
      <c r="D185" s="325"/>
      <c r="E185" s="325"/>
      <c r="F185" s="325"/>
      <c r="G185" s="325"/>
      <c r="H185" s="325"/>
      <c r="I185" s="325"/>
      <c r="J185" s="325"/>
      <c r="K185" s="360"/>
      <c r="L185" s="325"/>
      <c r="M185" s="325"/>
      <c r="N185" s="325"/>
      <c r="O185" s="325"/>
      <c r="P185" s="325"/>
      <c r="Q185" s="325"/>
      <c r="R185" s="113"/>
      <c r="S185" s="113"/>
      <c r="T185" s="113"/>
      <c r="U185" s="113"/>
      <c r="V185" s="113"/>
      <c r="W185" s="113"/>
      <c r="X185" s="360"/>
      <c r="Y185" s="113"/>
      <c r="Z185" s="113"/>
      <c r="AA185" s="113"/>
      <c r="AB185" s="113"/>
      <c r="AC185" s="113"/>
      <c r="AD185" s="114"/>
      <c r="AE185" s="117"/>
      <c r="AF185" s="8"/>
      <c r="AG185" s="581"/>
      <c r="AH185" s="582"/>
    </row>
    <row r="186" spans="1:38" ht="15.75" hidden="1" customHeight="1">
      <c r="A186" s="115"/>
      <c r="B186" s="115"/>
      <c r="C186" s="116"/>
      <c r="D186" s="325"/>
      <c r="E186" s="325"/>
      <c r="F186" s="325"/>
      <c r="G186" s="325"/>
      <c r="H186" s="325"/>
      <c r="I186" s="325"/>
      <c r="J186" s="325"/>
      <c r="K186" s="360"/>
      <c r="L186" s="325"/>
      <c r="M186" s="325"/>
      <c r="N186" s="325"/>
      <c r="O186" s="325"/>
      <c r="P186" s="325"/>
      <c r="Q186" s="325"/>
      <c r="R186" s="113"/>
      <c r="S186" s="113"/>
      <c r="T186" s="113"/>
      <c r="U186" s="113"/>
      <c r="V186" s="113"/>
      <c r="W186" s="113"/>
      <c r="X186" s="360"/>
      <c r="Y186" s="113"/>
      <c r="Z186" s="113"/>
      <c r="AA186" s="113"/>
      <c r="AB186" s="113"/>
      <c r="AC186" s="113"/>
      <c r="AD186" s="114"/>
      <c r="AE186" s="117"/>
      <c r="AF186" s="8"/>
      <c r="AG186" s="581"/>
      <c r="AH186" s="582"/>
    </row>
    <row r="187" spans="1:38" ht="21.6" customHeight="1">
      <c r="A187" s="103">
        <v>510</v>
      </c>
      <c r="B187" s="103"/>
      <c r="C187" s="118">
        <v>0</v>
      </c>
      <c r="D187" s="273"/>
      <c r="E187" s="273"/>
      <c r="F187" s="273"/>
      <c r="G187" s="273"/>
      <c r="H187" s="273"/>
      <c r="I187" s="273"/>
      <c r="J187" s="273"/>
      <c r="K187" s="361"/>
      <c r="L187" s="273"/>
      <c r="M187" s="273"/>
      <c r="N187" s="273"/>
      <c r="O187" s="273"/>
      <c r="P187" s="273"/>
      <c r="Q187" s="467"/>
      <c r="R187" s="8"/>
      <c r="S187" s="8"/>
      <c r="T187" s="8"/>
      <c r="U187" s="8"/>
      <c r="V187" s="8"/>
      <c r="W187" s="8"/>
      <c r="X187" s="361"/>
      <c r="Y187" s="8"/>
      <c r="Z187" s="8"/>
      <c r="AA187" s="8"/>
      <c r="AB187" s="8"/>
      <c r="AC187" s="8"/>
      <c r="AD187" s="9"/>
      <c r="AE187" s="117"/>
      <c r="AF187" s="8"/>
      <c r="AG187" s="581"/>
      <c r="AH187" s="582"/>
    </row>
    <row r="188" spans="1:38" ht="19.899999999999999" customHeight="1">
      <c r="A188" s="111">
        <v>610</v>
      </c>
      <c r="B188" s="111"/>
      <c r="C188" s="118">
        <v>0</v>
      </c>
      <c r="D188" s="270" t="s">
        <v>192</v>
      </c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  <c r="O188" s="326"/>
      <c r="P188" s="326"/>
      <c r="Q188" s="273"/>
      <c r="R188" s="8"/>
      <c r="S188" s="8"/>
      <c r="T188" s="8"/>
      <c r="U188" s="8"/>
      <c r="V188" s="8"/>
      <c r="W188" s="8"/>
      <c r="X188" s="361"/>
      <c r="Y188" s="8"/>
      <c r="Z188" s="8"/>
      <c r="AA188" s="8"/>
      <c r="AB188" s="8"/>
      <c r="AC188" s="8"/>
      <c r="AD188" s="9"/>
      <c r="AE188" s="117"/>
      <c r="AF188" s="8"/>
      <c r="AG188" s="583"/>
      <c r="AH188" s="582"/>
    </row>
    <row r="189" spans="1:38" ht="21.6" customHeight="1">
      <c r="A189" s="119" t="s">
        <v>104</v>
      </c>
      <c r="B189" s="119"/>
      <c r="C189" s="127">
        <f>C184+C187-C188</f>
        <v>0</v>
      </c>
      <c r="D189" s="326"/>
      <c r="E189" s="326"/>
      <c r="F189" s="326"/>
      <c r="G189" s="326"/>
      <c r="H189" s="326"/>
      <c r="I189" s="326"/>
      <c r="J189" s="326"/>
      <c r="K189" s="362"/>
      <c r="L189" s="326"/>
      <c r="M189" s="326"/>
      <c r="N189" s="326"/>
      <c r="O189" s="326"/>
      <c r="P189" s="326"/>
      <c r="Q189" s="273"/>
      <c r="R189" s="8"/>
      <c r="S189" s="8"/>
      <c r="T189" s="8"/>
      <c r="U189" s="8"/>
      <c r="V189" s="8"/>
      <c r="W189" s="8"/>
      <c r="X189" s="361"/>
      <c r="Y189" s="8"/>
      <c r="Z189" s="8"/>
      <c r="AA189" s="8"/>
      <c r="AB189" s="8"/>
      <c r="AC189" s="8"/>
      <c r="AD189" s="9"/>
      <c r="AE189" s="117"/>
      <c r="AF189" s="8"/>
      <c r="AG189" s="583"/>
      <c r="AH189" s="582"/>
    </row>
    <row r="190" spans="1:38" ht="19.5" customHeight="1">
      <c r="A190" s="120"/>
      <c r="B190" s="120"/>
      <c r="C190" s="51"/>
      <c r="D190" s="327" t="s">
        <v>178</v>
      </c>
      <c r="E190" s="327"/>
      <c r="F190" s="327"/>
      <c r="G190" s="327"/>
      <c r="H190" s="327"/>
      <c r="I190" s="327"/>
      <c r="J190" s="327"/>
      <c r="K190" s="363"/>
      <c r="L190" s="327"/>
      <c r="M190" s="327"/>
      <c r="N190" s="327"/>
      <c r="O190" s="327"/>
      <c r="P190" s="327"/>
      <c r="AF190" s="8"/>
      <c r="AG190" s="579"/>
      <c r="AH190" s="582"/>
    </row>
    <row r="191" spans="1:38" ht="24" customHeight="1">
      <c r="A191" s="481" t="s">
        <v>105</v>
      </c>
      <c r="B191" s="481"/>
      <c r="C191" s="482">
        <f>C158+C181+C184</f>
        <v>847457.15999999992</v>
      </c>
      <c r="D191" s="483">
        <f>D158+D181</f>
        <v>43125797.899999999</v>
      </c>
      <c r="E191" s="483">
        <f t="shared" ref="E191:N191" si="59">E158+E181</f>
        <v>717206.07000000007</v>
      </c>
      <c r="F191" s="483">
        <f t="shared" si="59"/>
        <v>2686724.9699999997</v>
      </c>
      <c r="G191" s="483">
        <f t="shared" si="59"/>
        <v>2605722.6300000004</v>
      </c>
      <c r="H191" s="483">
        <f t="shared" si="59"/>
        <v>3110878.71</v>
      </c>
      <c r="I191" s="483">
        <f>I158+I181</f>
        <v>0</v>
      </c>
      <c r="J191" s="483">
        <f t="shared" si="59"/>
        <v>0</v>
      </c>
      <c r="K191" s="482">
        <f t="shared" si="59"/>
        <v>0</v>
      </c>
      <c r="L191" s="483">
        <f t="shared" si="59"/>
        <v>0</v>
      </c>
      <c r="M191" s="483">
        <f>M158+M181</f>
        <v>0</v>
      </c>
      <c r="N191" s="483">
        <f t="shared" si="59"/>
        <v>0</v>
      </c>
      <c r="O191" s="483">
        <f>O158+O181</f>
        <v>0</v>
      </c>
      <c r="P191" s="483">
        <f>P158+P181</f>
        <v>0</v>
      </c>
      <c r="Q191" s="483">
        <f>Q158+Q181</f>
        <v>7995129.4299999997</v>
      </c>
      <c r="R191" s="483">
        <f t="shared" ref="R191:Y191" si="60">R158+R181</f>
        <v>593057.76</v>
      </c>
      <c r="S191" s="483">
        <f t="shared" si="60"/>
        <v>2574339.59</v>
      </c>
      <c r="T191" s="483">
        <f t="shared" si="60"/>
        <v>2615210.88</v>
      </c>
      <c r="U191" s="483">
        <f t="shared" si="60"/>
        <v>2212521.1999999997</v>
      </c>
      <c r="V191" s="483">
        <f>V158+V181</f>
        <v>0</v>
      </c>
      <c r="W191" s="483">
        <f t="shared" si="60"/>
        <v>0</v>
      </c>
      <c r="X191" s="483">
        <f t="shared" si="60"/>
        <v>0</v>
      </c>
      <c r="Y191" s="483">
        <f t="shared" si="60"/>
        <v>0</v>
      </c>
      <c r="Z191" s="483">
        <f>Z158+Z181</f>
        <v>0</v>
      </c>
      <c r="AA191" s="483">
        <f>AA158+AA181</f>
        <v>0</v>
      </c>
      <c r="AB191" s="483">
        <f>AB158+AB181</f>
        <v>0</v>
      </c>
      <c r="AC191" s="483">
        <f>AC158+AC181</f>
        <v>0</v>
      </c>
      <c r="AD191" s="484">
        <f>AD158+AD181+C189</f>
        <v>30016177.149999999</v>
      </c>
      <c r="AE191" s="20"/>
      <c r="AF191" s="8"/>
      <c r="AG191" s="577"/>
      <c r="AH191" s="582"/>
    </row>
    <row r="192" spans="1:38" ht="21.75" customHeight="1">
      <c r="C192" s="123"/>
      <c r="AE192" s="240"/>
      <c r="AF192" s="8"/>
      <c r="AG192" s="577"/>
      <c r="AH192" s="582"/>
    </row>
    <row r="193" spans="1:35" ht="27.75" customHeight="1">
      <c r="A193" s="696" t="s">
        <v>219</v>
      </c>
      <c r="B193" s="474"/>
      <c r="C193" s="572"/>
      <c r="D193" s="376" t="s">
        <v>220</v>
      </c>
      <c r="E193" s="376" t="s">
        <v>213</v>
      </c>
      <c r="F193" s="489"/>
      <c r="G193" s="489"/>
      <c r="H193" s="489"/>
      <c r="I193" s="489"/>
      <c r="J193" s="489"/>
      <c r="K193" s="489"/>
      <c r="L193" s="489"/>
      <c r="M193" s="490"/>
      <c r="N193" s="489"/>
      <c r="O193" s="489"/>
      <c r="P193" s="489"/>
      <c r="Q193" s="489" t="s">
        <v>213</v>
      </c>
      <c r="R193"/>
      <c r="S193"/>
      <c r="T193"/>
      <c r="U193"/>
      <c r="V193"/>
      <c r="W193"/>
      <c r="X193" s="236"/>
      <c r="Y193"/>
      <c r="Z193"/>
      <c r="AA193"/>
      <c r="AB193"/>
      <c r="AC193"/>
      <c r="AD193" s="124"/>
      <c r="AF193" s="8"/>
      <c r="AG193" s="577"/>
      <c r="AH193" s="8"/>
      <c r="AI193" s="2"/>
    </row>
    <row r="194" spans="1:35" ht="22.5" customHeight="1">
      <c r="A194" t="s">
        <v>179</v>
      </c>
      <c r="B194"/>
      <c r="C194" s="573"/>
      <c r="D194" s="376" t="s">
        <v>221</v>
      </c>
      <c r="E194" s="376" t="s">
        <v>213</v>
      </c>
      <c r="F194" s="488"/>
      <c r="G194" s="488"/>
      <c r="H194" s="488"/>
      <c r="I194" s="488"/>
      <c r="J194" s="488"/>
      <c r="K194" s="488"/>
      <c r="L194" s="488"/>
      <c r="M194" s="488"/>
      <c r="N194" s="488"/>
      <c r="O194" s="488"/>
      <c r="P194" s="488"/>
      <c r="Q194" s="489" t="s">
        <v>213</v>
      </c>
      <c r="AE194" s="387"/>
      <c r="AF194" s="8"/>
      <c r="AG194" s="8"/>
      <c r="AH194" s="8"/>
    </row>
    <row r="195" spans="1:35" ht="17.45" customHeight="1">
      <c r="AD195" s="3" t="s">
        <v>63</v>
      </c>
      <c r="AE195" s="105"/>
      <c r="AF195" s="8"/>
      <c r="AG195" s="8"/>
      <c r="AH195" s="8"/>
    </row>
    <row r="196" spans="1:35" ht="16.5" customHeight="1">
      <c r="I196" s="327"/>
      <c r="AF196" s="8"/>
      <c r="AG196" s="8"/>
      <c r="AH196" s="8"/>
    </row>
    <row r="197" spans="1:35" ht="17.25" customHeight="1">
      <c r="AD197" s="125"/>
    </row>
    <row r="198" spans="1:35">
      <c r="A198" s="237"/>
      <c r="B198" s="237"/>
      <c r="D198" s="327"/>
      <c r="E198" s="327"/>
      <c r="F198" s="327"/>
      <c r="G198" s="327"/>
      <c r="H198" s="327"/>
      <c r="I198" s="327"/>
      <c r="J198" s="327"/>
      <c r="K198" s="363"/>
      <c r="L198" s="327"/>
      <c r="M198" s="327"/>
      <c r="N198" s="327"/>
      <c r="O198" s="327"/>
      <c r="P198" s="327"/>
      <c r="Q198" s="327"/>
      <c r="R198" s="20"/>
      <c r="S198" s="20"/>
      <c r="T198" s="20"/>
      <c r="U198" s="20"/>
      <c r="V198" s="20"/>
      <c r="W198" s="20"/>
      <c r="X198" s="363"/>
      <c r="Y198" s="20"/>
      <c r="Z198" s="20"/>
      <c r="AA198" s="20"/>
      <c r="AB198" s="20"/>
      <c r="AC198" s="20"/>
    </row>
    <row r="199" spans="1:35">
      <c r="A199" s="460"/>
      <c r="B199" s="460"/>
      <c r="D199" s="327"/>
      <c r="E199" s="327"/>
      <c r="F199" s="327"/>
      <c r="G199" s="327"/>
      <c r="H199" s="327"/>
      <c r="I199" s="327"/>
      <c r="J199" s="327"/>
      <c r="K199" s="363"/>
      <c r="L199" s="327"/>
      <c r="M199" s="327"/>
      <c r="N199" s="327"/>
      <c r="O199" s="327"/>
      <c r="P199" s="327"/>
      <c r="Q199" s="327"/>
      <c r="R199" s="20"/>
      <c r="S199" s="20"/>
      <c r="T199" s="20"/>
      <c r="U199" s="20"/>
      <c r="V199" s="20"/>
      <c r="W199" s="20"/>
      <c r="X199" s="363"/>
      <c r="Y199" s="20"/>
      <c r="Z199" s="20"/>
      <c r="AA199" s="20"/>
      <c r="AB199" s="20"/>
      <c r="AC199" s="20"/>
    </row>
    <row r="200" spans="1:35" hidden="1">
      <c r="D200" s="327"/>
      <c r="E200" s="327"/>
      <c r="F200" s="327"/>
      <c r="G200" s="327"/>
      <c r="H200" s="327"/>
      <c r="I200" s="327"/>
      <c r="J200" s="327"/>
      <c r="K200" s="363"/>
      <c r="L200" s="327"/>
      <c r="M200" s="327"/>
      <c r="N200" s="327"/>
      <c r="O200" s="327"/>
      <c r="P200" s="327"/>
      <c r="Q200" s="327"/>
      <c r="R200" s="20"/>
      <c r="S200" s="20"/>
      <c r="T200" s="20"/>
      <c r="U200" s="20"/>
      <c r="V200" s="20"/>
      <c r="W200" s="20"/>
      <c r="X200" s="363"/>
      <c r="Y200" s="20"/>
      <c r="Z200" s="20"/>
      <c r="AA200" s="20"/>
      <c r="AB200" s="20"/>
      <c r="AC200" s="20"/>
    </row>
    <row r="201" spans="1:35" hidden="1"/>
    <row r="202" spans="1:35" hidden="1"/>
    <row r="215" spans="16:17">
      <c r="P215" s="270">
        <v>211</v>
      </c>
      <c r="Q215" s="327"/>
    </row>
  </sheetData>
  <sheetProtection selectLockedCells="1" selectUnlockedCells="1"/>
  <mergeCells count="4">
    <mergeCell ref="AF166:AG166"/>
    <mergeCell ref="AE67:AF67"/>
    <mergeCell ref="AG164:AH164"/>
    <mergeCell ref="AE7:AF7"/>
  </mergeCells>
  <pageMargins left="0.62992125984251968" right="0.11811023622047245" top="0.39370078740157483" bottom="0.19685039370078741" header="0.19685039370078741" footer="0.51181102362204722"/>
  <pageSetup paperSize="9" scale="61" firstPageNumber="0" fitToHeight="2" orientation="portrait" r:id="rId1"/>
  <headerFooter alignWithMargins="0"/>
  <rowBreaks count="2" manualBreakCount="2">
    <brk id="64" max="27" man="1"/>
    <brk id="132" max="2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31" workbookViewId="0">
      <selection activeCell="C11" sqref="C11"/>
    </sheetView>
  </sheetViews>
  <sheetFormatPr defaultRowHeight="12.75"/>
  <cols>
    <col min="1" max="1" width="16.42578125" customWidth="1"/>
    <col min="2" max="2" width="14.85546875" customWidth="1"/>
    <col min="3" max="3" width="12.85546875" customWidth="1"/>
    <col min="4" max="4" width="10.42578125" customWidth="1"/>
    <col min="5" max="5" width="11.140625" customWidth="1"/>
    <col min="6" max="6" width="11.7109375" customWidth="1"/>
    <col min="7" max="7" width="9.140625" style="214" customWidth="1"/>
    <col min="11" max="15" width="0" hidden="1" customWidth="1"/>
  </cols>
  <sheetData>
    <row r="1" spans="1:15" ht="18">
      <c r="B1" s="711" t="s">
        <v>122</v>
      </c>
      <c r="C1" s="711"/>
      <c r="D1" s="711"/>
      <c r="F1" s="147"/>
      <c r="G1" s="210"/>
    </row>
    <row r="2" spans="1:15">
      <c r="B2" s="147"/>
      <c r="F2" s="148" t="s">
        <v>123</v>
      </c>
      <c r="G2" s="210"/>
    </row>
    <row r="3" spans="1:15" ht="33.7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153</v>
      </c>
      <c r="F3" s="150" t="s">
        <v>129</v>
      </c>
      <c r="G3" s="211" t="s">
        <v>102</v>
      </c>
      <c r="K3" s="715"/>
      <c r="L3" s="715"/>
      <c r="M3" s="715"/>
      <c r="N3" s="715"/>
      <c r="O3" s="715"/>
    </row>
    <row r="4" spans="1:15" ht="15.75">
      <c r="A4" s="205" t="s">
        <v>106</v>
      </c>
      <c r="B4" s="152"/>
      <c r="C4" s="241"/>
      <c r="D4" s="204"/>
      <c r="E4" s="242"/>
      <c r="F4" s="242"/>
      <c r="G4" s="212">
        <f>B4+F4</f>
        <v>0</v>
      </c>
      <c r="K4" s="715"/>
      <c r="L4" s="715"/>
      <c r="M4" s="715"/>
      <c r="N4" s="715"/>
      <c r="O4" s="715"/>
    </row>
    <row r="5" spans="1:15" ht="15.75" customHeight="1">
      <c r="A5" s="154"/>
      <c r="B5" s="155"/>
      <c r="C5" s="155"/>
      <c r="D5" s="156"/>
      <c r="E5" s="157"/>
      <c r="F5" s="158"/>
      <c r="G5" s="211">
        <f t="shared" ref="G5:G36" si="0">SUM(B5:F5)</f>
        <v>0</v>
      </c>
      <c r="K5" s="715"/>
      <c r="L5" s="715"/>
      <c r="M5" s="715"/>
      <c r="N5" s="715"/>
      <c r="O5" s="715"/>
    </row>
    <row r="6" spans="1:15">
      <c r="A6" s="154"/>
      <c r="B6" s="155"/>
      <c r="C6" s="155"/>
      <c r="D6" s="157"/>
      <c r="E6" s="157"/>
      <c r="F6" s="159"/>
      <c r="G6" s="211">
        <f t="shared" si="0"/>
        <v>0</v>
      </c>
      <c r="K6" s="715"/>
      <c r="L6" s="715"/>
      <c r="M6" s="715"/>
      <c r="N6" s="715"/>
      <c r="O6" s="715"/>
    </row>
    <row r="7" spans="1:15">
      <c r="A7" s="154"/>
      <c r="B7" s="155"/>
      <c r="C7" s="155"/>
      <c r="D7" s="156"/>
      <c r="E7" s="155"/>
      <c r="F7" s="159"/>
      <c r="G7" s="211">
        <f t="shared" si="0"/>
        <v>0</v>
      </c>
      <c r="K7" s="715"/>
      <c r="L7" s="715"/>
      <c r="M7" s="715"/>
      <c r="N7" s="715"/>
      <c r="O7" s="715"/>
    </row>
    <row r="8" spans="1:15">
      <c r="A8" s="154"/>
      <c r="B8" s="155"/>
      <c r="C8" s="160"/>
      <c r="D8" s="162"/>
      <c r="E8" s="162"/>
      <c r="F8" s="159"/>
      <c r="G8" s="211">
        <f t="shared" si="0"/>
        <v>0</v>
      </c>
      <c r="K8" s="715"/>
      <c r="L8" s="715"/>
      <c r="M8" s="715"/>
      <c r="N8" s="715"/>
      <c r="O8" s="715"/>
    </row>
    <row r="9" spans="1:15">
      <c r="A9" s="161"/>
      <c r="B9" s="155"/>
      <c r="C9" s="155"/>
      <c r="D9" s="155"/>
      <c r="E9" s="162"/>
      <c r="F9" s="159"/>
      <c r="G9" s="211">
        <f t="shared" si="0"/>
        <v>0</v>
      </c>
      <c r="K9" s="715"/>
      <c r="L9" s="715"/>
      <c r="M9" s="715"/>
      <c r="N9" s="715"/>
      <c r="O9" s="715"/>
    </row>
    <row r="10" spans="1:15">
      <c r="A10" s="161"/>
      <c r="B10" s="160"/>
      <c r="C10" s="155"/>
      <c r="D10" s="155"/>
      <c r="E10" s="162"/>
      <c r="F10" s="159"/>
      <c r="G10" s="211">
        <f t="shared" si="0"/>
        <v>0</v>
      </c>
      <c r="K10" s="715"/>
      <c r="L10" s="715"/>
      <c r="M10" s="715"/>
      <c r="N10" s="715"/>
      <c r="O10" s="715"/>
    </row>
    <row r="11" spans="1:15">
      <c r="A11" s="161"/>
      <c r="B11" s="155"/>
      <c r="C11" s="155"/>
      <c r="D11" s="162"/>
      <c r="E11" s="162"/>
      <c r="F11" s="158"/>
      <c r="G11" s="211">
        <f t="shared" si="0"/>
        <v>0</v>
      </c>
      <c r="K11" s="715"/>
      <c r="L11" s="715"/>
      <c r="M11" s="715"/>
      <c r="N11" s="715"/>
      <c r="O11" s="715"/>
    </row>
    <row r="12" spans="1:15">
      <c r="A12" s="161"/>
      <c r="B12" s="155"/>
      <c r="C12" s="155"/>
      <c r="D12" s="162"/>
      <c r="E12" s="162"/>
      <c r="F12" s="158"/>
      <c r="G12" s="211">
        <f t="shared" si="0"/>
        <v>0</v>
      </c>
      <c r="K12" s="715"/>
      <c r="L12" s="715"/>
      <c r="M12" s="715"/>
      <c r="N12" s="715"/>
      <c r="O12" s="715"/>
    </row>
    <row r="13" spans="1:15">
      <c r="A13" s="161"/>
      <c r="B13" s="155"/>
      <c r="C13" s="155"/>
      <c r="D13" s="163"/>
      <c r="E13" s="162"/>
      <c r="F13" s="158"/>
      <c r="G13" s="211">
        <f t="shared" si="0"/>
        <v>0</v>
      </c>
      <c r="K13" s="715"/>
      <c r="L13" s="715"/>
      <c r="M13" s="715"/>
      <c r="N13" s="715"/>
      <c r="O13" s="715"/>
    </row>
    <row r="14" spans="1:15">
      <c r="A14" s="161"/>
      <c r="B14" s="155"/>
      <c r="C14" s="155"/>
      <c r="D14" s="162"/>
      <c r="E14" s="162"/>
      <c r="F14" s="158"/>
      <c r="G14" s="211">
        <f t="shared" si="0"/>
        <v>0</v>
      </c>
    </row>
    <row r="15" spans="1:15">
      <c r="A15" s="161"/>
      <c r="B15" s="155"/>
      <c r="C15" s="160"/>
      <c r="D15" s="162"/>
      <c r="E15" s="162"/>
      <c r="F15" s="159"/>
      <c r="G15" s="211">
        <f t="shared" si="0"/>
        <v>0</v>
      </c>
    </row>
    <row r="16" spans="1:15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11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11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11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11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11">
      <c r="A37" s="173" t="s">
        <v>104</v>
      </c>
      <c r="B37" s="173">
        <f t="shared" ref="B37:G37" si="1">SUM(B5:B29)</f>
        <v>0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0</v>
      </c>
    </row>
    <row r="38" spans="1:11">
      <c r="A38" s="397" t="s">
        <v>152</v>
      </c>
      <c r="B38" s="397">
        <f>SUM(B37+C37)-C53</f>
        <v>0</v>
      </c>
      <c r="C38" s="173"/>
      <c r="D38" s="173"/>
      <c r="E38" s="176">
        <f>E37+E4</f>
        <v>0</v>
      </c>
      <c r="F38" s="177"/>
      <c r="G38" s="173"/>
    </row>
    <row r="39" spans="1:11">
      <c r="A39" s="178"/>
      <c r="B39" s="179"/>
      <c r="C39" s="164"/>
      <c r="D39" s="164"/>
      <c r="E39" s="164"/>
      <c r="F39" s="164"/>
      <c r="G39" s="173"/>
    </row>
    <row r="40" spans="1:11">
      <c r="A40" s="180"/>
      <c r="B40" s="171"/>
      <c r="C40" s="164"/>
      <c r="D40" s="164"/>
      <c r="E40" s="164"/>
      <c r="F40" s="164"/>
      <c r="G40" s="173"/>
    </row>
    <row r="41" spans="1:11" ht="15">
      <c r="A41" s="181" t="s">
        <v>151</v>
      </c>
      <c r="B41" s="182">
        <f>B38+B4+C4+E4+E37</f>
        <v>0</v>
      </c>
      <c r="C41" s="183"/>
      <c r="D41" s="183"/>
      <c r="E41" s="183"/>
      <c r="F41" s="392"/>
      <c r="G41" s="185"/>
      <c r="I41">
        <f>B38-I40</f>
        <v>0</v>
      </c>
    </row>
    <row r="42" spans="1:11" ht="15">
      <c r="A42" s="186"/>
      <c r="B42" s="182"/>
      <c r="C42" s="183"/>
      <c r="D42" s="183"/>
      <c r="E42" s="183"/>
      <c r="F42" s="183"/>
      <c r="G42" s="185"/>
    </row>
    <row r="43" spans="1:11" ht="38.25">
      <c r="A43" s="187" t="s">
        <v>133</v>
      </c>
      <c r="B43" s="223" t="s">
        <v>138</v>
      </c>
      <c r="C43" s="245" t="s">
        <v>162</v>
      </c>
      <c r="D43" s="247"/>
      <c r="E43" s="183"/>
      <c r="F43" s="188" t="s">
        <v>135</v>
      </c>
      <c r="G43" s="185"/>
      <c r="I43">
        <f>B37-C47</f>
        <v>0</v>
      </c>
      <c r="K43">
        <f>I43-J43</f>
        <v>0</v>
      </c>
    </row>
    <row r="44" spans="1:11" ht="14.25" customHeight="1">
      <c r="A44" s="189"/>
      <c r="B44" s="370"/>
      <c r="C44" s="243"/>
      <c r="D44" s="247"/>
      <c r="E44" s="192"/>
      <c r="F44" s="193"/>
      <c r="G44" s="185"/>
    </row>
    <row r="45" spans="1:11" ht="15" customHeight="1">
      <c r="A45" s="194"/>
      <c r="B45" s="191"/>
      <c r="C45" s="251"/>
      <c r="D45" s="247"/>
      <c r="E45" s="192"/>
      <c r="F45" s="196"/>
      <c r="G45" s="185"/>
    </row>
    <row r="46" spans="1:11">
      <c r="A46" s="194"/>
      <c r="B46" s="195"/>
      <c r="C46" s="252"/>
      <c r="D46" s="247"/>
      <c r="E46" s="192"/>
      <c r="F46" s="191"/>
      <c r="G46" s="185"/>
    </row>
    <row r="47" spans="1:11">
      <c r="A47" s="198"/>
      <c r="B47" s="195"/>
      <c r="C47" s="253"/>
      <c r="D47" s="247"/>
      <c r="E47" s="192"/>
      <c r="F47" s="191"/>
      <c r="G47" s="185"/>
    </row>
    <row r="48" spans="1:11">
      <c r="A48" s="194"/>
      <c r="B48" s="195"/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4"/>
      <c r="B50" s="195"/>
      <c r="C50" s="243"/>
      <c r="D50" s="247"/>
      <c r="E50" s="192"/>
      <c r="F50" s="191"/>
      <c r="G50" s="185"/>
    </row>
    <row r="51" spans="1:7" ht="15" customHeight="1">
      <c r="A51" s="198"/>
      <c r="B51" s="195"/>
      <c r="C51" s="243"/>
      <c r="D51" s="247"/>
      <c r="E51" s="183"/>
      <c r="F51" s="191"/>
      <c r="G51" s="185"/>
    </row>
    <row r="52" spans="1:7" ht="16.5" customHeight="1">
      <c r="A52" s="198"/>
      <c r="B52" s="195"/>
      <c r="C52" s="243"/>
      <c r="D52" s="248"/>
      <c r="E52" s="183"/>
      <c r="F52" s="191"/>
      <c r="G52" s="185"/>
    </row>
    <row r="53" spans="1:7" ht="22.5" customHeight="1">
      <c r="A53" s="198" t="s">
        <v>136</v>
      </c>
      <c r="B53" s="200">
        <f>SUM(B44:B52)</f>
        <v>0</v>
      </c>
      <c r="C53" s="246">
        <f>SUM(C44:C52)</f>
        <v>0</v>
      </c>
      <c r="D53" s="249"/>
      <c r="E53" s="183"/>
      <c r="F53" s="191"/>
      <c r="G53" s="185"/>
    </row>
    <row r="54" spans="1:7" ht="18.75" customHeight="1">
      <c r="A54" s="202" t="s">
        <v>148</v>
      </c>
      <c r="B54" s="182">
        <f>B41-B53</f>
        <v>0</v>
      </c>
      <c r="C54" s="246"/>
      <c r="D54" s="250">
        <f>B54</f>
        <v>0</v>
      </c>
      <c r="E54" s="183"/>
      <c r="F54" s="173">
        <f>SUM(F44:F53)</f>
        <v>0</v>
      </c>
      <c r="G54" s="185"/>
    </row>
    <row r="55" spans="1:7" ht="16.5" customHeight="1"/>
    <row r="56" spans="1:7" ht="16.5" customHeight="1"/>
    <row r="57" spans="1:7" ht="16.5" customHeight="1"/>
    <row r="58" spans="1:7" ht="16.5" customHeight="1"/>
  </sheetData>
  <mergeCells count="2">
    <mergeCell ref="B1:D1"/>
    <mergeCell ref="K3:O1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28" sqref="C28"/>
    </sheetView>
  </sheetViews>
  <sheetFormatPr defaultRowHeight="12.75"/>
  <cols>
    <col min="1" max="1" width="13.425781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205" t="s">
        <v>106</v>
      </c>
      <c r="B4" s="152"/>
      <c r="C4" s="152">
        <v>81753.88</v>
      </c>
      <c r="D4" s="204"/>
      <c r="E4" s="205"/>
      <c r="F4" s="153"/>
      <c r="G4" s="212">
        <f>B4+F4</f>
        <v>0</v>
      </c>
    </row>
    <row r="5" spans="1:7">
      <c r="A5" s="154">
        <v>43160</v>
      </c>
      <c r="B5" s="155">
        <v>5229.01</v>
      </c>
      <c r="C5" s="155"/>
      <c r="D5" s="156"/>
      <c r="E5" s="157"/>
      <c r="F5" s="158"/>
      <c r="G5" s="211">
        <f t="shared" ref="G5:G36" si="0">SUM(B5:F5)</f>
        <v>5229.01</v>
      </c>
    </row>
    <row r="6" spans="1:7">
      <c r="A6" s="154">
        <v>43161</v>
      </c>
      <c r="B6" s="155">
        <v>1958</v>
      </c>
      <c r="C6" s="155">
        <v>1664.3</v>
      </c>
      <c r="D6" s="157"/>
      <c r="E6" s="157"/>
      <c r="F6" s="159"/>
      <c r="G6" s="211">
        <f t="shared" si="0"/>
        <v>3622.3</v>
      </c>
    </row>
    <row r="7" spans="1:7">
      <c r="A7" s="154">
        <v>43164</v>
      </c>
      <c r="B7" s="155">
        <f>35898.83+2073.6+1848.88+4485.82</f>
        <v>44307.13</v>
      </c>
      <c r="C7" s="160">
        <v>3606.84</v>
      </c>
      <c r="D7" s="156"/>
      <c r="E7" s="155"/>
      <c r="F7" s="159"/>
      <c r="G7" s="211">
        <f t="shared" si="0"/>
        <v>47913.97</v>
      </c>
    </row>
    <row r="8" spans="1:7">
      <c r="A8" s="161">
        <v>43165</v>
      </c>
      <c r="B8" s="155">
        <v>25195.96</v>
      </c>
      <c r="C8" s="155"/>
      <c r="D8" s="162"/>
      <c r="E8" s="162"/>
      <c r="F8" s="159"/>
      <c r="G8" s="211">
        <f t="shared" si="0"/>
        <v>25195.96</v>
      </c>
    </row>
    <row r="9" spans="1:7">
      <c r="A9" s="161">
        <v>43166</v>
      </c>
      <c r="B9" s="155">
        <f>20020.06</f>
        <v>20020.060000000001</v>
      </c>
      <c r="C9" s="155">
        <v>5549.39</v>
      </c>
      <c r="D9" s="162"/>
      <c r="E9" s="162"/>
      <c r="F9" s="159"/>
      <c r="G9" s="211">
        <f t="shared" si="0"/>
        <v>25569.45</v>
      </c>
    </row>
    <row r="10" spans="1:7">
      <c r="A10" s="161">
        <v>43171</v>
      </c>
      <c r="B10" s="155">
        <f>9455.08+6494.63+38193.26</f>
        <v>54142.97</v>
      </c>
      <c r="C10" s="160">
        <v>6636.58</v>
      </c>
      <c r="D10" s="162"/>
      <c r="E10" s="162"/>
      <c r="F10" s="159"/>
      <c r="G10" s="211">
        <f t="shared" si="0"/>
        <v>60779.55</v>
      </c>
    </row>
    <row r="11" spans="1:7">
      <c r="A11" s="161">
        <v>43172</v>
      </c>
      <c r="B11" s="155">
        <v>24708.18</v>
      </c>
      <c r="C11" s="155">
        <f>1545.79+1297.25</f>
        <v>2843.04</v>
      </c>
      <c r="D11" s="162"/>
      <c r="E11" s="162"/>
      <c r="F11" s="158"/>
      <c r="G11" s="211">
        <f t="shared" si="0"/>
        <v>27551.22</v>
      </c>
    </row>
    <row r="12" spans="1:7">
      <c r="A12" s="161">
        <v>43173</v>
      </c>
      <c r="B12" s="155">
        <v>24408.2</v>
      </c>
      <c r="C12" s="155">
        <v>9377.7900000000009</v>
      </c>
      <c r="D12" s="162"/>
      <c r="E12" s="162"/>
      <c r="F12" s="158"/>
      <c r="G12" s="211">
        <f t="shared" si="0"/>
        <v>33785.990000000005</v>
      </c>
    </row>
    <row r="13" spans="1:7">
      <c r="A13" s="161">
        <v>43174</v>
      </c>
      <c r="B13" s="155">
        <v>19876.2</v>
      </c>
      <c r="C13" s="155">
        <v>9354.9500000000007</v>
      </c>
      <c r="D13" s="163"/>
      <c r="E13" s="162"/>
      <c r="F13" s="158"/>
      <c r="G13" s="211">
        <f t="shared" si="0"/>
        <v>29231.15</v>
      </c>
    </row>
    <row r="14" spans="1:7">
      <c r="A14" s="161">
        <v>43175</v>
      </c>
      <c r="B14" s="155">
        <v>16658.97</v>
      </c>
      <c r="C14" s="155">
        <v>9826.06</v>
      </c>
      <c r="D14" s="162"/>
      <c r="E14" s="162"/>
      <c r="F14" s="158"/>
      <c r="G14" s="211">
        <f t="shared" si="0"/>
        <v>26485.03</v>
      </c>
    </row>
    <row r="15" spans="1:7">
      <c r="A15" s="161">
        <v>43178</v>
      </c>
      <c r="B15" s="155">
        <f>9674.06+2473.26</f>
        <v>12147.32</v>
      </c>
      <c r="C15" s="160">
        <f>2782.42+3977.83</f>
        <v>6760.25</v>
      </c>
      <c r="D15" s="162"/>
      <c r="E15" s="162"/>
      <c r="F15" s="159"/>
      <c r="G15" s="211">
        <f t="shared" si="0"/>
        <v>18907.57</v>
      </c>
    </row>
    <row r="16" spans="1:7">
      <c r="A16" s="161">
        <v>43179</v>
      </c>
      <c r="B16" s="191">
        <f>2566.01+1180.42</f>
        <v>3746.4300000000003</v>
      </c>
      <c r="C16" s="191">
        <v>1751.89</v>
      </c>
      <c r="D16" s="165"/>
      <c r="E16" s="165"/>
      <c r="F16" s="166"/>
      <c r="G16" s="211">
        <f t="shared" si="0"/>
        <v>5498.3200000000006</v>
      </c>
    </row>
    <row r="17" spans="1:7">
      <c r="A17" s="161">
        <v>43180</v>
      </c>
      <c r="B17" s="207">
        <f>7584.5</f>
        <v>7584.5</v>
      </c>
      <c r="C17" s="208">
        <v>1442.74</v>
      </c>
      <c r="D17" s="165"/>
      <c r="E17" s="165"/>
      <c r="F17" s="166"/>
      <c r="G17" s="211">
        <f t="shared" si="0"/>
        <v>9027.24</v>
      </c>
    </row>
    <row r="18" spans="1:7">
      <c r="A18" s="161">
        <v>43181</v>
      </c>
      <c r="B18" s="207">
        <v>4347.9399999999996</v>
      </c>
      <c r="C18" s="208"/>
      <c r="D18" s="165"/>
      <c r="E18" s="165"/>
      <c r="F18" s="166"/>
      <c r="G18" s="211">
        <f t="shared" si="0"/>
        <v>4347.9399999999996</v>
      </c>
    </row>
    <row r="19" spans="1:7">
      <c r="A19" s="161">
        <v>43182</v>
      </c>
      <c r="B19" s="191">
        <v>4273.9399999999996</v>
      </c>
      <c r="C19" s="208">
        <v>1664.3</v>
      </c>
      <c r="D19" s="165"/>
      <c r="E19" s="165"/>
      <c r="F19" s="166"/>
      <c r="G19" s="211">
        <f t="shared" si="0"/>
        <v>5938.24</v>
      </c>
    </row>
    <row r="20" spans="1:7">
      <c r="A20" s="161">
        <v>43185</v>
      </c>
      <c r="B20" s="191">
        <v>4480.74</v>
      </c>
      <c r="C20" s="209">
        <v>1958</v>
      </c>
      <c r="D20" s="168"/>
      <c r="E20" s="165"/>
      <c r="F20" s="166"/>
      <c r="G20" s="211">
        <f t="shared" si="0"/>
        <v>6438.74</v>
      </c>
    </row>
    <row r="21" spans="1:7">
      <c r="A21" s="161">
        <v>43186</v>
      </c>
      <c r="B21" s="191">
        <v>6595.26</v>
      </c>
      <c r="C21" s="208">
        <v>1787.98</v>
      </c>
      <c r="D21" s="165"/>
      <c r="E21" s="165"/>
      <c r="F21" s="169"/>
      <c r="G21" s="211">
        <f t="shared" si="0"/>
        <v>8383.24</v>
      </c>
    </row>
    <row r="22" spans="1:7">
      <c r="A22" s="161">
        <v>43187</v>
      </c>
      <c r="B22" s="191">
        <v>6288.45</v>
      </c>
      <c r="C22" s="208"/>
      <c r="D22" s="165"/>
      <c r="E22" s="165"/>
      <c r="F22" s="170"/>
      <c r="G22" s="211">
        <f t="shared" si="0"/>
        <v>6288.45</v>
      </c>
    </row>
    <row r="23" spans="1:7">
      <c r="A23" s="161">
        <v>43188</v>
      </c>
      <c r="B23" s="191">
        <v>1000</v>
      </c>
      <c r="C23" s="208">
        <v>1664.3</v>
      </c>
      <c r="D23" s="165"/>
      <c r="E23" s="165"/>
      <c r="F23" s="170"/>
      <c r="G23" s="211">
        <f t="shared" si="0"/>
        <v>2664.3</v>
      </c>
    </row>
    <row r="24" spans="1:7">
      <c r="A24" s="161">
        <v>43189</v>
      </c>
      <c r="B24" s="191">
        <v>2782.42</v>
      </c>
      <c r="C24" s="208">
        <v>1133.58</v>
      </c>
      <c r="D24" s="165"/>
      <c r="E24" s="165"/>
      <c r="F24" s="170"/>
      <c r="G24" s="211">
        <f t="shared" si="0"/>
        <v>3916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289751.67999999999</v>
      </c>
      <c r="C37" s="173">
        <f t="shared" si="1"/>
        <v>67021.990000000005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356773.67</v>
      </c>
    </row>
    <row r="38" spans="1:7">
      <c r="A38" s="174" t="s">
        <v>130</v>
      </c>
      <c r="B38" s="175">
        <f>SUM(B37+C37)-C53</f>
        <v>356773.67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438527.55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51">
      <c r="A43" s="187" t="s">
        <v>133</v>
      </c>
      <c r="B43" s="223" t="s">
        <v>138</v>
      </c>
      <c r="C43" s="188" t="s">
        <v>134</v>
      </c>
      <c r="D43" s="183"/>
      <c r="E43" s="183"/>
      <c r="F43" s="188" t="s">
        <v>135</v>
      </c>
      <c r="G43" s="185"/>
    </row>
    <row r="44" spans="1:7" ht="14.25" customHeight="1">
      <c r="A44" s="189">
        <v>43164</v>
      </c>
      <c r="B44" s="190">
        <f>796.37+2789.81+3972.92+6599.09</f>
        <v>14158.19</v>
      </c>
      <c r="C44" s="191"/>
      <c r="D44" s="183"/>
      <c r="E44" s="192"/>
      <c r="F44" s="193"/>
      <c r="G44" s="185"/>
    </row>
    <row r="45" spans="1:7" ht="15" customHeight="1">
      <c r="A45" s="194">
        <v>43166</v>
      </c>
      <c r="B45" s="195">
        <f>6907.46+1882.3+146.05+796.37+8197.2+796.37+2072+796.37+487.53+5912.4+2293.84+3217.11+8197.2+5371.2+2770.66+3219.22+14083.8+474.8</f>
        <v>67621.88</v>
      </c>
      <c r="C45" s="191"/>
      <c r="D45" s="183"/>
      <c r="E45" s="192"/>
      <c r="F45" s="196"/>
      <c r="G45" s="185"/>
    </row>
    <row r="46" spans="1:7">
      <c r="A46" s="194">
        <v>43172</v>
      </c>
      <c r="B46" s="195">
        <v>2170</v>
      </c>
      <c r="C46" s="197"/>
      <c r="D46" s="183"/>
      <c r="E46" s="192"/>
      <c r="F46" s="191"/>
      <c r="G46" s="185"/>
    </row>
    <row r="47" spans="1:7">
      <c r="A47" s="198">
        <v>43174</v>
      </c>
      <c r="B47" s="195">
        <f>796.37+2703.14+14720.8+10922.31+3121.37+4599.84+794+2425.5+726+794+10246.5+812.55+796.37+1986.46+10511.74+5371.2+796.37+4850+3972.92</f>
        <v>80947.439999999988</v>
      </c>
      <c r="C47" s="191"/>
      <c r="D47" s="183"/>
      <c r="E47" s="192"/>
      <c r="F47" s="191"/>
      <c r="G47" s="185"/>
    </row>
    <row r="48" spans="1:7">
      <c r="A48" s="198">
        <v>43180</v>
      </c>
      <c r="B48" s="195">
        <f>796.37+5371.2+10246.5+796.37+796.37+812.55+8170.56+796.37+796.37+2486.4+474.8+7694.89+3266.55+14720.8+10959.41+1668+869.75+2864.62+2777.04+1331+4307.8+915.6+2031.08</f>
        <v>84950.400000000009</v>
      </c>
      <c r="C48" s="191"/>
      <c r="D48" s="183"/>
      <c r="E48" s="192"/>
      <c r="F48" s="191"/>
      <c r="G48" s="185"/>
    </row>
    <row r="49" spans="1:7">
      <c r="A49" s="198">
        <v>43187</v>
      </c>
      <c r="B49" s="195">
        <f>3263.6+5371.2+812.55+8197.2+7504.65+6147.9+7873.3+796.37+14483.7+796.37+2843.64+796.37+7694.89+4850+796.37+3121.58+1657.6+2759.71+15135.2+5002.51+2903.6+3121.37+12111.21+796.37</f>
        <v>118837.26000000001</v>
      </c>
      <c r="C49" s="191"/>
      <c r="D49" s="183"/>
      <c r="E49" s="192"/>
      <c r="F49" s="191"/>
      <c r="G49" s="185"/>
    </row>
    <row r="50" spans="1:7">
      <c r="A50" s="198">
        <v>43189</v>
      </c>
      <c r="B50" s="195">
        <f>10246.5+8109.29+2170+525+796.37+8197.2+2830.87</f>
        <v>32875.230000000003</v>
      </c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401560.4</v>
      </c>
      <c r="C53" s="200">
        <f>SUM(C44:C52)</f>
        <v>0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36967.149999999965</v>
      </c>
      <c r="C54" s="200">
        <f>SUM(C45:C53)</f>
        <v>0</v>
      </c>
      <c r="D54" s="235">
        <f>B54</f>
        <v>36967.149999999965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8" workbookViewId="0">
      <selection activeCell="K43" sqref="K43"/>
    </sheetView>
  </sheetViews>
  <sheetFormatPr defaultRowHeight="12.75"/>
  <cols>
    <col min="1" max="1" width="11.28515625" customWidth="1"/>
    <col min="2" max="2" width="11.85546875" customWidth="1"/>
    <col min="3" max="3" width="11.7109375" customWidth="1"/>
    <col min="4" max="4" width="13.42578125" customWidth="1"/>
    <col min="5" max="5" width="12.85546875" customWidth="1"/>
    <col min="6" max="6" width="10.425781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414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>
      <c r="A4" s="417" t="s">
        <v>106</v>
      </c>
      <c r="B4" s="152"/>
      <c r="C4" s="416">
        <v>85281.45</v>
      </c>
      <c r="D4" s="413"/>
      <c r="E4" s="205"/>
      <c r="F4" s="153"/>
      <c r="G4" s="212">
        <f>B4+F4</f>
        <v>0</v>
      </c>
    </row>
    <row r="5" spans="1:7">
      <c r="A5" s="154">
        <v>43405</v>
      </c>
      <c r="B5" s="429">
        <v>4495.5600000000004</v>
      </c>
      <c r="C5" s="430"/>
      <c r="D5" s="156"/>
      <c r="E5" s="157"/>
      <c r="F5" s="158"/>
      <c r="G5" s="211">
        <f t="shared" ref="G5:G36" si="0">SUM(B5:F5)</f>
        <v>4495.5600000000004</v>
      </c>
    </row>
    <row r="6" spans="1:7">
      <c r="A6" s="154">
        <v>43406</v>
      </c>
      <c r="B6" s="429">
        <v>12233.25</v>
      </c>
      <c r="C6" s="429"/>
      <c r="D6" s="157"/>
      <c r="E6" s="157"/>
      <c r="F6" s="159"/>
      <c r="G6" s="211">
        <f t="shared" si="0"/>
        <v>12233.25</v>
      </c>
    </row>
    <row r="7" spans="1:7">
      <c r="A7" s="154">
        <v>43410</v>
      </c>
      <c r="B7" s="429">
        <f>7780.93+43067.52</f>
        <v>50848.45</v>
      </c>
      <c r="C7" s="431"/>
      <c r="D7" s="156"/>
      <c r="E7" s="155"/>
      <c r="F7" s="159"/>
      <c r="G7" s="211">
        <f t="shared" si="0"/>
        <v>50848.45</v>
      </c>
    </row>
    <row r="8" spans="1:7">
      <c r="A8" s="154">
        <v>43411</v>
      </c>
      <c r="B8" s="429">
        <v>30536.799999999999</v>
      </c>
      <c r="C8" s="431">
        <f>1191.83+1872.87+2894.44</f>
        <v>5959.1399999999994</v>
      </c>
      <c r="D8" s="162"/>
      <c r="E8" s="162"/>
      <c r="F8" s="159"/>
      <c r="G8" s="211">
        <f t="shared" si="0"/>
        <v>36495.94</v>
      </c>
    </row>
    <row r="9" spans="1:7">
      <c r="A9" s="161">
        <v>43412</v>
      </c>
      <c r="B9" s="429">
        <v>28808.14</v>
      </c>
      <c r="C9" s="429">
        <v>6486.94</v>
      </c>
      <c r="D9" s="162"/>
      <c r="E9" s="162"/>
      <c r="F9" s="159"/>
      <c r="G9" s="211">
        <f t="shared" si="0"/>
        <v>35295.08</v>
      </c>
    </row>
    <row r="10" spans="1:7">
      <c r="A10" s="161">
        <v>43413</v>
      </c>
      <c r="B10" s="429">
        <v>28442.080000000002</v>
      </c>
      <c r="C10" s="431">
        <v>5486.66</v>
      </c>
      <c r="D10" s="162"/>
      <c r="E10" s="162"/>
      <c r="F10" s="159"/>
      <c r="G10" s="211">
        <f t="shared" si="0"/>
        <v>33928.740000000005</v>
      </c>
    </row>
    <row r="11" spans="1:7">
      <c r="A11" s="161">
        <v>43416</v>
      </c>
      <c r="B11" s="429">
        <f>2128.26+42995.56</f>
        <v>45123.82</v>
      </c>
      <c r="C11" s="429">
        <f>12697.22+4256.53</f>
        <v>16953.75</v>
      </c>
      <c r="D11" s="162"/>
      <c r="E11" s="162"/>
      <c r="F11" s="158"/>
      <c r="G11" s="211">
        <f t="shared" si="0"/>
        <v>62077.57</v>
      </c>
    </row>
    <row r="12" spans="1:7">
      <c r="A12" s="161">
        <v>43417</v>
      </c>
      <c r="B12" s="429">
        <v>19328.89</v>
      </c>
      <c r="C12" s="429">
        <v>3830.87</v>
      </c>
      <c r="D12" s="162"/>
      <c r="E12" s="162"/>
      <c r="F12" s="158"/>
      <c r="G12" s="211">
        <f t="shared" si="0"/>
        <v>23159.759999999998</v>
      </c>
    </row>
    <row r="13" spans="1:7">
      <c r="A13" s="161">
        <v>43419</v>
      </c>
      <c r="B13" s="429">
        <v>27093.26</v>
      </c>
      <c r="C13" s="429">
        <v>766.17</v>
      </c>
      <c r="D13" s="163"/>
      <c r="E13" s="162"/>
      <c r="F13" s="158"/>
      <c r="G13" s="211">
        <f t="shared" si="0"/>
        <v>27859.429999999997</v>
      </c>
    </row>
    <row r="14" spans="1:7">
      <c r="A14" s="161">
        <v>43420</v>
      </c>
      <c r="B14" s="429">
        <v>29795.67</v>
      </c>
      <c r="C14" s="429">
        <v>6044.27</v>
      </c>
      <c r="D14" s="162"/>
      <c r="E14" s="162"/>
      <c r="F14" s="158"/>
      <c r="G14" s="211">
        <f t="shared" si="0"/>
        <v>35839.94</v>
      </c>
    </row>
    <row r="15" spans="1:7">
      <c r="A15" s="161">
        <v>43423</v>
      </c>
      <c r="B15" s="155">
        <f>6326.22+19597.03</f>
        <v>25923.25</v>
      </c>
      <c r="C15" s="160">
        <f>2816.08+3464.81</f>
        <v>6280.8899999999994</v>
      </c>
      <c r="D15" s="162"/>
      <c r="E15" s="162"/>
      <c r="F15" s="159"/>
      <c r="G15" s="211">
        <f t="shared" si="0"/>
        <v>32204.14</v>
      </c>
    </row>
    <row r="16" spans="1:7">
      <c r="A16" s="161">
        <v>43418</v>
      </c>
      <c r="B16" s="191">
        <f>24348.25</f>
        <v>24348.25</v>
      </c>
      <c r="C16" s="191">
        <v>2639.05</v>
      </c>
      <c r="D16" s="208"/>
      <c r="E16" s="165"/>
      <c r="F16" s="166"/>
      <c r="G16" s="211">
        <f t="shared" si="0"/>
        <v>26987.3</v>
      </c>
    </row>
    <row r="17" spans="1:10">
      <c r="A17" s="161">
        <v>43424</v>
      </c>
      <c r="B17" s="436">
        <v>12849.14</v>
      </c>
      <c r="C17" s="208">
        <v>1664.3</v>
      </c>
      <c r="D17" s="165"/>
      <c r="E17" s="165"/>
      <c r="F17" s="166"/>
      <c r="G17" s="211">
        <f t="shared" si="0"/>
        <v>14513.439999999999</v>
      </c>
    </row>
    <row r="18" spans="1:10">
      <c r="A18" s="161">
        <v>43425</v>
      </c>
      <c r="B18" s="207">
        <v>4260.78</v>
      </c>
      <c r="C18" s="208">
        <v>1000</v>
      </c>
      <c r="D18" s="165"/>
      <c r="E18" s="165"/>
      <c r="F18" s="166"/>
      <c r="G18" s="211">
        <f t="shared" si="0"/>
        <v>5260.78</v>
      </c>
      <c r="J18">
        <v>979</v>
      </c>
    </row>
    <row r="19" spans="1:10">
      <c r="A19" s="161">
        <v>43426</v>
      </c>
      <c r="B19" s="207">
        <f>9180.63</f>
        <v>9180.6299999999992</v>
      </c>
      <c r="C19" s="208">
        <v>1447.22</v>
      </c>
      <c r="D19" s="165"/>
      <c r="E19" s="165"/>
      <c r="F19" s="166"/>
      <c r="G19" s="211">
        <f t="shared" si="0"/>
        <v>10627.849999999999</v>
      </c>
      <c r="J19">
        <v>1664.3</v>
      </c>
    </row>
    <row r="20" spans="1:10">
      <c r="A20" s="161">
        <v>43427</v>
      </c>
      <c r="B20" s="191">
        <v>5001.5600000000004</v>
      </c>
      <c r="C20" s="209"/>
      <c r="D20" s="168"/>
      <c r="E20" s="165"/>
      <c r="F20" s="166"/>
      <c r="G20" s="211">
        <f t="shared" si="0"/>
        <v>5001.5600000000004</v>
      </c>
      <c r="J20">
        <v>783.2</v>
      </c>
    </row>
    <row r="21" spans="1:10">
      <c r="A21" s="161">
        <v>43430</v>
      </c>
      <c r="B21" s="191">
        <v>3649.83</v>
      </c>
      <c r="C21" s="208">
        <v>1988</v>
      </c>
      <c r="D21" s="165"/>
      <c r="E21" s="165"/>
      <c r="F21" s="169"/>
      <c r="G21" s="211">
        <f t="shared" si="0"/>
        <v>5637.83</v>
      </c>
      <c r="J21">
        <v>783.2</v>
      </c>
    </row>
    <row r="22" spans="1:10">
      <c r="A22" s="161">
        <v>43431</v>
      </c>
      <c r="B22" s="191">
        <v>1191.83</v>
      </c>
      <c r="C22" s="208"/>
      <c r="D22" s="165"/>
      <c r="E22" s="165"/>
      <c r="F22" s="170"/>
      <c r="G22" s="211">
        <f t="shared" si="0"/>
        <v>1191.83</v>
      </c>
      <c r="J22">
        <v>1414.66</v>
      </c>
    </row>
    <row r="23" spans="1:10">
      <c r="A23" s="161">
        <v>43432</v>
      </c>
      <c r="B23" s="191">
        <v>1872.87</v>
      </c>
      <c r="C23" s="208">
        <v>1447.22</v>
      </c>
      <c r="D23" s="165"/>
      <c r="E23" s="165"/>
      <c r="F23" s="170"/>
      <c r="G23" s="211">
        <f t="shared" si="0"/>
        <v>3320.09</v>
      </c>
      <c r="J23" s="124">
        <f>SUM(J18:J22)</f>
        <v>5624.36</v>
      </c>
    </row>
    <row r="24" spans="1:10">
      <c r="A24" s="161">
        <v>43433</v>
      </c>
      <c r="B24" s="191"/>
      <c r="C24" s="208"/>
      <c r="D24" s="165"/>
      <c r="E24" s="165"/>
      <c r="F24" s="170"/>
      <c r="G24" s="211">
        <f t="shared" si="0"/>
        <v>0</v>
      </c>
      <c r="H24" t="s">
        <v>182</v>
      </c>
    </row>
    <row r="25" spans="1:10">
      <c r="A25" s="161">
        <v>43434</v>
      </c>
      <c r="B25" s="191">
        <v>3000</v>
      </c>
      <c r="C25" s="208"/>
      <c r="D25" s="165"/>
      <c r="E25" s="165"/>
      <c r="F25" s="170"/>
      <c r="G25" s="211">
        <f t="shared" si="0"/>
        <v>3000</v>
      </c>
    </row>
    <row r="26" spans="1:10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10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10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10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10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10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10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367984.06000000006</v>
      </c>
      <c r="C37" s="173">
        <f t="shared" si="1"/>
        <v>61994.48000000001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429978.5400000001</v>
      </c>
    </row>
    <row r="38" spans="1:7">
      <c r="A38" s="174" t="s">
        <v>130</v>
      </c>
      <c r="B38" s="175">
        <f>SUM(B37+C37)-C53</f>
        <v>429978.54000000004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515259.99000000005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46.9" customHeight="1">
      <c r="A43" s="187" t="s">
        <v>133</v>
      </c>
      <c r="B43" s="223" t="s">
        <v>138</v>
      </c>
      <c r="C43" s="188" t="s">
        <v>134</v>
      </c>
      <c r="D43" s="183"/>
      <c r="E43" s="183"/>
      <c r="F43" s="421" t="s">
        <v>135</v>
      </c>
      <c r="G43" s="185"/>
    </row>
    <row r="44" spans="1:7" ht="14.25" customHeight="1">
      <c r="A44" s="189">
        <v>43412</v>
      </c>
      <c r="B44" s="370">
        <f>1473.2+756.54+1403.65+7897.2+5650+1250.8+4276.8+442.05+4022.3+756.54+3752.4+7927.88+7854+9867.83+756.54+5298.54+9817.5+2489.6+756.54+2341.2+11067.55+3373.92</f>
        <v>93232.58</v>
      </c>
      <c r="C44" s="191"/>
      <c r="D44" s="183"/>
      <c r="E44" s="192"/>
      <c r="F44" s="193"/>
      <c r="G44" s="185"/>
    </row>
    <row r="45" spans="1:7" ht="15" customHeight="1">
      <c r="A45" s="194">
        <v>43418</v>
      </c>
      <c r="B45" s="191">
        <f>855+756.54+330+3873.17+756.54+7560.8+7854+5448.8+7323.93+756.54+10101.34+330+5003.2+6336.56+1926.76+4276.8+9817.5+756.54+3778+3373.92+2731.4+2489.6+756.54</f>
        <v>87193.48</v>
      </c>
      <c r="C45" s="191"/>
      <c r="D45" s="183"/>
      <c r="E45" s="192"/>
      <c r="F45" s="196"/>
      <c r="G45" s="185"/>
    </row>
    <row r="46" spans="1:7">
      <c r="A46" s="194">
        <v>43426</v>
      </c>
      <c r="B46" s="191">
        <f>9817.5+7897.2+11929.8+3291.56+10417.32+4790+9290.11+7854+7897.2+3092.76+330+756.54+9817.5+4276.8+756.54+4372.16+1250.8+756.54+756.54+1397.6+13408.75+7560.8+3752.4+7796.83+756.54+728+5583</f>
        <v>140334.78999999998</v>
      </c>
      <c r="C46" s="427"/>
      <c r="D46" s="183"/>
      <c r="E46" s="192"/>
      <c r="F46" s="191"/>
      <c r="G46" s="185"/>
    </row>
    <row r="47" spans="1:7">
      <c r="A47" s="198">
        <v>43432</v>
      </c>
      <c r="B47" s="191">
        <f>3120.92+10700.79+756.54+330+1847+1459.03+9817.5+6144.5+19320.07+442.05+3778+2341.2+1544.4+756.54+5628.6+7854+3092.76+756.54+4032.75+756.54+756.54</f>
        <v>85236.269999999975</v>
      </c>
      <c r="C47" s="191"/>
      <c r="D47" s="183"/>
      <c r="E47" s="192"/>
      <c r="F47" s="191"/>
      <c r="G47" s="185"/>
    </row>
    <row r="48" spans="1:7">
      <c r="A48" s="198">
        <v>43434</v>
      </c>
      <c r="B48" s="191">
        <f>1974.3+9817.5+8458.44+3553.74+756.54+756.54+7560.8+7854+4559.5</f>
        <v>45291.360000000001</v>
      </c>
      <c r="C48" s="191"/>
      <c r="D48" s="183"/>
      <c r="E48" s="192"/>
      <c r="F48" s="191"/>
      <c r="G48" s="185"/>
    </row>
    <row r="49" spans="1:7">
      <c r="A49" s="198"/>
      <c r="B49" s="195"/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</f>
        <v>451288.47999999992</v>
      </c>
      <c r="C53" s="200">
        <f>SUM(C44:C52)</f>
        <v>0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63971.510000000126</v>
      </c>
      <c r="C54" s="200">
        <f>SUM(C44:C52)</f>
        <v>0</v>
      </c>
      <c r="D54" s="235">
        <f>B54</f>
        <v>63971.510000000126</v>
      </c>
      <c r="E54" s="183"/>
      <c r="F54" s="173">
        <f>SUM(F44:F53)</f>
        <v>0</v>
      </c>
      <c r="G54" s="185"/>
    </row>
    <row r="56" spans="1:7">
      <c r="D56" s="4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8" sqref="B8"/>
    </sheetView>
  </sheetViews>
  <sheetFormatPr defaultRowHeight="12.75"/>
  <cols>
    <col min="1" max="1" width="13.42578125" customWidth="1"/>
    <col min="2" max="2" width="13.5703125" customWidth="1"/>
    <col min="3" max="3" width="11.7109375" customWidth="1"/>
    <col min="4" max="4" width="13.42578125" customWidth="1"/>
    <col min="5" max="5" width="12.855468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 ht="15">
      <c r="A4" s="205" t="s">
        <v>106</v>
      </c>
      <c r="B4" s="152"/>
      <c r="C4" s="206">
        <v>234604.34000000008</v>
      </c>
      <c r="D4" s="204"/>
      <c r="E4" s="205"/>
      <c r="F4" s="153"/>
      <c r="G4" s="212">
        <f>B4+F4</f>
        <v>0</v>
      </c>
    </row>
    <row r="5" spans="1:7">
      <c r="A5" s="154">
        <v>43929</v>
      </c>
      <c r="B5" s="155">
        <v>824.42</v>
      </c>
      <c r="C5" s="155"/>
      <c r="D5" s="156"/>
      <c r="E5" s="157"/>
      <c r="F5" s="158"/>
      <c r="G5" s="211">
        <f t="shared" ref="G5:G29" si="0">SUM(B5:F5)</f>
        <v>824.42</v>
      </c>
    </row>
    <row r="6" spans="1:7">
      <c r="A6" s="154">
        <v>43934</v>
      </c>
      <c r="B6" s="155">
        <v>1339.68</v>
      </c>
      <c r="C6" s="155"/>
      <c r="D6" s="157"/>
      <c r="E6" s="157"/>
      <c r="F6" s="159"/>
      <c r="G6" s="211">
        <f t="shared" si="0"/>
        <v>1339.68</v>
      </c>
    </row>
    <row r="7" spans="1:7">
      <c r="A7" s="154">
        <v>43937</v>
      </c>
      <c r="B7" s="155">
        <v>1442.74</v>
      </c>
      <c r="C7" s="160"/>
      <c r="D7" s="156"/>
      <c r="E7" s="155"/>
      <c r="F7" s="159"/>
      <c r="G7" s="211">
        <f t="shared" si="0"/>
        <v>1442.74</v>
      </c>
    </row>
    <row r="8" spans="1:7">
      <c r="A8" s="161"/>
      <c r="B8" s="155"/>
      <c r="C8" s="155"/>
      <c r="D8" s="162"/>
      <c r="E8" s="162"/>
      <c r="F8" s="159"/>
      <c r="G8" s="211">
        <f t="shared" si="0"/>
        <v>0</v>
      </c>
    </row>
    <row r="9" spans="1:7">
      <c r="A9" s="161"/>
      <c r="B9" s="155"/>
      <c r="C9" s="155"/>
      <c r="D9" s="162"/>
      <c r="E9" s="162"/>
      <c r="F9" s="159"/>
      <c r="G9" s="211">
        <f t="shared" si="0"/>
        <v>0</v>
      </c>
    </row>
    <row r="10" spans="1:7">
      <c r="A10" s="161"/>
      <c r="B10" s="155"/>
      <c r="C10" s="160"/>
      <c r="D10" s="162"/>
      <c r="E10" s="162"/>
      <c r="F10" s="159"/>
      <c r="G10" s="211">
        <f t="shared" si="0"/>
        <v>0</v>
      </c>
    </row>
    <row r="11" spans="1:7">
      <c r="A11" s="161"/>
      <c r="B11" s="155"/>
      <c r="C11" s="155"/>
      <c r="D11" s="162"/>
      <c r="E11" s="162"/>
      <c r="F11" s="158"/>
      <c r="G11" s="211">
        <f t="shared" si="0"/>
        <v>0</v>
      </c>
    </row>
    <row r="12" spans="1:7">
      <c r="A12" s="161"/>
      <c r="B12" s="155"/>
      <c r="C12" s="155"/>
      <c r="D12" s="162"/>
      <c r="E12" s="162"/>
      <c r="F12" s="158"/>
      <c r="G12" s="211">
        <f t="shared" si="0"/>
        <v>0</v>
      </c>
    </row>
    <row r="13" spans="1:7">
      <c r="A13" s="161"/>
      <c r="B13" s="155"/>
      <c r="C13" s="155"/>
      <c r="D13" s="163"/>
      <c r="E13" s="162"/>
      <c r="F13" s="158"/>
      <c r="G13" s="211">
        <f t="shared" si="0"/>
        <v>0</v>
      </c>
    </row>
    <row r="14" spans="1:7">
      <c r="A14" s="161"/>
      <c r="B14" s="155"/>
      <c r="C14" s="155"/>
      <c r="D14" s="162"/>
      <c r="E14" s="162"/>
      <c r="F14" s="158"/>
      <c r="G14" s="211">
        <f t="shared" si="0"/>
        <v>0</v>
      </c>
    </row>
    <row r="15" spans="1:7">
      <c r="A15" s="161"/>
      <c r="B15" s="155"/>
      <c r="C15" s="160"/>
      <c r="D15" s="162"/>
      <c r="E15" s="162"/>
      <c r="F15" s="159"/>
      <c r="G15" s="211">
        <f t="shared" si="0"/>
        <v>0</v>
      </c>
    </row>
    <row r="16" spans="1:7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3"/>
    </row>
    <row r="31" spans="1:7">
      <c r="A31" s="161"/>
      <c r="B31" s="164"/>
      <c r="C31" s="165"/>
      <c r="D31" s="165"/>
      <c r="E31" s="165"/>
      <c r="F31" s="170"/>
      <c r="G31" s="213"/>
    </row>
    <row r="32" spans="1:7">
      <c r="A32" s="161"/>
      <c r="B32" s="164"/>
      <c r="C32" s="165"/>
      <c r="D32" s="165"/>
      <c r="E32" s="165"/>
      <c r="F32" s="170"/>
      <c r="G32" s="213"/>
    </row>
    <row r="33" spans="1:7">
      <c r="A33" s="161"/>
      <c r="B33" s="164"/>
      <c r="C33" s="165"/>
      <c r="D33" s="165"/>
      <c r="E33" s="165"/>
      <c r="F33" s="170"/>
      <c r="G33" s="213"/>
    </row>
    <row r="34" spans="1:7">
      <c r="A34" s="154"/>
      <c r="B34" s="164"/>
      <c r="C34" s="164"/>
      <c r="D34" s="164"/>
      <c r="E34" s="164"/>
      <c r="F34" s="170"/>
      <c r="G34" s="173"/>
    </row>
    <row r="35" spans="1:7">
      <c r="A35" s="154"/>
      <c r="B35" s="167"/>
      <c r="C35" s="167"/>
      <c r="D35" s="167"/>
      <c r="E35" s="164"/>
      <c r="F35" s="172"/>
      <c r="G35" s="173"/>
    </row>
    <row r="36" spans="1:7">
      <c r="A36" s="154"/>
      <c r="B36" s="167"/>
      <c r="C36" s="167"/>
      <c r="D36" s="167"/>
      <c r="E36" s="164"/>
      <c r="F36" s="166"/>
      <c r="G36" s="173"/>
    </row>
    <row r="37" spans="1:7">
      <c r="A37" s="173" t="s">
        <v>104</v>
      </c>
      <c r="B37" s="173">
        <f t="shared" ref="B37:G37" si="1">SUM(B5:B29)</f>
        <v>3606.84</v>
      </c>
      <c r="C37" s="173">
        <f t="shared" si="1"/>
        <v>0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3606.84</v>
      </c>
    </row>
    <row r="38" spans="1:7">
      <c r="A38" s="174" t="s">
        <v>130</v>
      </c>
      <c r="B38" s="175">
        <f>SUM(B37+C37)-C53</f>
        <v>3606.84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238211.18000000008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51.75">
      <c r="A43" s="187" t="s">
        <v>133</v>
      </c>
      <c r="B43" s="182"/>
      <c r="C43" s="188" t="s">
        <v>134</v>
      </c>
      <c r="D43" s="183"/>
      <c r="E43" s="183"/>
      <c r="F43" s="188" t="s">
        <v>135</v>
      </c>
      <c r="G43" s="185"/>
    </row>
    <row r="44" spans="1:7">
      <c r="A44" s="189"/>
      <c r="B44" s="190"/>
      <c r="C44" s="191"/>
      <c r="D44" s="183"/>
      <c r="E44" s="192"/>
      <c r="F44" s="193"/>
      <c r="G44" s="185"/>
    </row>
    <row r="45" spans="1:7">
      <c r="A45" s="194"/>
      <c r="B45" s="195"/>
      <c r="C45" s="191"/>
      <c r="D45" s="183"/>
      <c r="E45" s="192"/>
      <c r="F45" s="196"/>
      <c r="G45" s="185"/>
    </row>
    <row r="46" spans="1:7">
      <c r="A46" s="194"/>
      <c r="B46" s="195"/>
      <c r="C46" s="197"/>
      <c r="D46" s="183"/>
      <c r="E46" s="192"/>
      <c r="F46" s="191"/>
      <c r="G46" s="185"/>
    </row>
    <row r="47" spans="1:7">
      <c r="A47" s="198"/>
      <c r="C47" s="191"/>
      <c r="D47" s="183"/>
      <c r="E47" s="192"/>
      <c r="F47" s="191"/>
      <c r="G47" s="185"/>
    </row>
    <row r="48" spans="1:7">
      <c r="A48" s="198"/>
      <c r="B48" s="195"/>
      <c r="C48" s="191"/>
      <c r="D48" s="183"/>
      <c r="E48" s="192"/>
      <c r="F48" s="191"/>
      <c r="G48" s="185"/>
    </row>
    <row r="49" spans="1:7">
      <c r="A49" s="198"/>
      <c r="B49" s="195"/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SUM(B44:B52)-D37</f>
        <v>0</v>
      </c>
      <c r="C53" s="200">
        <f>SUM(C44:C52)</f>
        <v>0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238211.18000000008</v>
      </c>
      <c r="C54" s="200">
        <f>SUM(C44:C52)</f>
        <v>0</v>
      </c>
      <c r="D54" s="203">
        <f>B54</f>
        <v>238211.18000000008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1" workbookViewId="0">
      <selection activeCell="E48" sqref="E48"/>
    </sheetView>
  </sheetViews>
  <sheetFormatPr defaultRowHeight="12.75"/>
  <cols>
    <col min="1" max="1" width="13.42578125" customWidth="1"/>
    <col min="2" max="2" width="13.5703125" customWidth="1"/>
    <col min="3" max="3" width="11.7109375" customWidth="1"/>
    <col min="4" max="4" width="13.42578125" customWidth="1"/>
    <col min="5" max="5" width="12.855468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 ht="15">
      <c r="A4" s="205" t="s">
        <v>106</v>
      </c>
      <c r="B4" s="152"/>
      <c r="C4" s="206">
        <v>221241.68000000005</v>
      </c>
      <c r="D4" s="204"/>
      <c r="E4" s="205"/>
      <c r="F4" s="153"/>
      <c r="G4" s="212">
        <f>B4+F4</f>
        <v>0</v>
      </c>
    </row>
    <row r="5" spans="1:7">
      <c r="A5" s="154">
        <v>43892</v>
      </c>
      <c r="B5" s="155">
        <v>2239.75</v>
      </c>
      <c r="C5" s="155"/>
      <c r="D5" s="156"/>
      <c r="E5" s="157"/>
      <c r="F5" s="158"/>
      <c r="G5" s="211">
        <f t="shared" ref="G5:G29" si="0">SUM(B5:F5)</f>
        <v>2239.75</v>
      </c>
    </row>
    <row r="6" spans="1:7">
      <c r="A6" s="154">
        <v>43893</v>
      </c>
      <c r="B6" s="155">
        <v>12599.16</v>
      </c>
      <c r="C6" s="155">
        <v>1612.47</v>
      </c>
      <c r="D6" s="157"/>
      <c r="E6" s="157"/>
      <c r="F6" s="159"/>
      <c r="G6" s="211">
        <f t="shared" si="0"/>
        <v>14211.63</v>
      </c>
    </row>
    <row r="7" spans="1:7">
      <c r="A7" s="154">
        <v>43894</v>
      </c>
      <c r="B7" s="155">
        <v>33389.06</v>
      </c>
      <c r="C7" s="160"/>
      <c r="D7" s="156"/>
      <c r="E7" s="155"/>
      <c r="F7" s="159"/>
      <c r="G7" s="211">
        <f t="shared" si="0"/>
        <v>33389.06</v>
      </c>
    </row>
    <row r="8" spans="1:7">
      <c r="A8" s="161">
        <v>43895</v>
      </c>
      <c r="B8" s="155">
        <v>23630.11</v>
      </c>
      <c r="C8" s="155">
        <v>3091.57</v>
      </c>
      <c r="D8" s="162"/>
      <c r="E8" s="162"/>
      <c r="F8" s="159"/>
      <c r="G8" s="211">
        <f t="shared" si="0"/>
        <v>26721.68</v>
      </c>
    </row>
    <row r="9" spans="1:7">
      <c r="A9" s="161">
        <v>43896</v>
      </c>
      <c r="B9" s="155">
        <v>14771.06</v>
      </c>
      <c r="C9" s="155">
        <v>4393.97</v>
      </c>
      <c r="D9" s="162"/>
      <c r="E9" s="162"/>
      <c r="F9" s="159"/>
      <c r="G9" s="211">
        <f t="shared" si="0"/>
        <v>19165.03</v>
      </c>
    </row>
    <row r="10" spans="1:7">
      <c r="A10" s="161">
        <v>43900</v>
      </c>
      <c r="B10" s="155">
        <f>7378.57+28079.74</f>
        <v>35458.31</v>
      </c>
      <c r="C10" s="160">
        <f>721.37+927.47</f>
        <v>1648.8400000000001</v>
      </c>
      <c r="D10" s="162"/>
      <c r="E10" s="162"/>
      <c r="F10" s="159"/>
      <c r="G10" s="211">
        <f t="shared" si="0"/>
        <v>37107.149999999994</v>
      </c>
    </row>
    <row r="11" spans="1:7">
      <c r="A11" s="161">
        <v>43901</v>
      </c>
      <c r="B11" s="155">
        <v>28019.29</v>
      </c>
      <c r="C11" s="155"/>
      <c r="D11" s="162"/>
      <c r="E11" s="162"/>
      <c r="F11" s="158"/>
      <c r="G11" s="211">
        <f t="shared" si="0"/>
        <v>28019.29</v>
      </c>
    </row>
    <row r="12" spans="1:7">
      <c r="A12" s="161">
        <v>43902</v>
      </c>
      <c r="B12" s="155">
        <v>29942.63</v>
      </c>
      <c r="C12" s="155">
        <v>5928.55</v>
      </c>
      <c r="D12" s="162"/>
      <c r="E12" s="162"/>
      <c r="F12" s="158"/>
      <c r="G12" s="211">
        <f t="shared" si="0"/>
        <v>35871.18</v>
      </c>
    </row>
    <row r="13" spans="1:7">
      <c r="A13" s="161">
        <v>43903</v>
      </c>
      <c r="B13" s="155">
        <v>22726.61</v>
      </c>
      <c r="C13" s="155">
        <v>4482.78</v>
      </c>
      <c r="D13" s="163"/>
      <c r="E13" s="162"/>
      <c r="F13" s="158"/>
      <c r="G13" s="211">
        <f t="shared" si="0"/>
        <v>27209.39</v>
      </c>
    </row>
    <row r="14" spans="1:7">
      <c r="A14" s="161">
        <v>43906</v>
      </c>
      <c r="B14" s="155">
        <f>47234.68+12516.32</f>
        <v>59751</v>
      </c>
      <c r="C14" s="155">
        <f>3297.68+5706.46</f>
        <v>9004.14</v>
      </c>
      <c r="D14" s="162"/>
      <c r="E14" s="162"/>
      <c r="F14" s="158"/>
      <c r="G14" s="211">
        <f t="shared" si="0"/>
        <v>68755.14</v>
      </c>
    </row>
    <row r="15" spans="1:7">
      <c r="A15" s="161">
        <v>43907</v>
      </c>
      <c r="B15" s="155">
        <v>12115.29</v>
      </c>
      <c r="C15" s="160">
        <v>1751.89</v>
      </c>
      <c r="D15" s="162"/>
      <c r="E15" s="162"/>
      <c r="F15" s="159"/>
      <c r="G15" s="211">
        <f t="shared" si="0"/>
        <v>13867.18</v>
      </c>
    </row>
    <row r="16" spans="1:7">
      <c r="A16" s="161">
        <v>43908</v>
      </c>
      <c r="B16" s="191">
        <v>7289.64</v>
      </c>
      <c r="C16" s="191">
        <v>2988.53</v>
      </c>
      <c r="D16" s="165"/>
      <c r="E16" s="165"/>
      <c r="F16" s="166"/>
      <c r="G16" s="211">
        <f t="shared" si="0"/>
        <v>10278.17</v>
      </c>
    </row>
    <row r="17" spans="1:7">
      <c r="A17" s="161">
        <v>43909</v>
      </c>
      <c r="B17" s="207">
        <v>3328.6</v>
      </c>
      <c r="C17" s="208">
        <v>824.42</v>
      </c>
      <c r="D17" s="165"/>
      <c r="E17" s="165"/>
      <c r="F17" s="166"/>
      <c r="G17" s="211">
        <f t="shared" si="0"/>
        <v>4153.0199999999995</v>
      </c>
    </row>
    <row r="18" spans="1:7">
      <c r="A18" s="161">
        <v>43910</v>
      </c>
      <c r="B18" s="207">
        <v>3684.13</v>
      </c>
      <c r="C18" s="208">
        <v>1442.74</v>
      </c>
      <c r="D18" s="165"/>
      <c r="E18" s="165"/>
      <c r="F18" s="166"/>
      <c r="G18" s="211">
        <f t="shared" si="0"/>
        <v>5126.87</v>
      </c>
    </row>
    <row r="19" spans="1:7">
      <c r="A19" s="161">
        <v>43913</v>
      </c>
      <c r="B19" s="191">
        <f>1751.89+443.62</f>
        <v>2195.5100000000002</v>
      </c>
      <c r="C19" s="208">
        <f>309.16+1236.63</f>
        <v>1545.7900000000002</v>
      </c>
      <c r="D19" s="165"/>
      <c r="E19" s="165"/>
      <c r="F19" s="166"/>
      <c r="G19" s="211">
        <f t="shared" si="0"/>
        <v>3741.3</v>
      </c>
    </row>
    <row r="20" spans="1:7">
      <c r="A20" s="161">
        <v>43914</v>
      </c>
      <c r="B20" s="191">
        <v>4504.55</v>
      </c>
      <c r="C20" s="209"/>
      <c r="D20" s="168"/>
      <c r="E20" s="165"/>
      <c r="F20" s="166"/>
      <c r="G20" s="211">
        <f t="shared" si="0"/>
        <v>4504.55</v>
      </c>
    </row>
    <row r="21" spans="1:7">
      <c r="A21" s="161">
        <v>43915</v>
      </c>
      <c r="B21" s="191">
        <v>3709.89</v>
      </c>
      <c r="C21" s="208"/>
      <c r="D21" s="165"/>
      <c r="E21" s="165"/>
      <c r="F21" s="169"/>
      <c r="G21" s="211">
        <f t="shared" si="0"/>
        <v>3709.89</v>
      </c>
    </row>
    <row r="22" spans="1:7">
      <c r="A22" s="161">
        <v>43917</v>
      </c>
      <c r="B22" s="191">
        <v>1648.84</v>
      </c>
      <c r="C22" s="208"/>
      <c r="D22" s="165"/>
      <c r="E22" s="165"/>
      <c r="F22" s="170"/>
      <c r="G22" s="211">
        <f t="shared" si="0"/>
        <v>1648.84</v>
      </c>
    </row>
    <row r="23" spans="1:7">
      <c r="A23" s="161">
        <v>43920</v>
      </c>
      <c r="B23" s="191">
        <f>2576.31+824.42</f>
        <v>3400.73</v>
      </c>
      <c r="C23" s="208"/>
      <c r="D23" s="165"/>
      <c r="E23" s="165"/>
      <c r="F23" s="170"/>
      <c r="G23" s="211">
        <f t="shared" si="0"/>
        <v>3400.73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3"/>
    </row>
    <row r="31" spans="1:7">
      <c r="A31" s="161"/>
      <c r="B31" s="164"/>
      <c r="C31" s="165"/>
      <c r="D31" s="165"/>
      <c r="E31" s="165"/>
      <c r="F31" s="170"/>
      <c r="G31" s="213"/>
    </row>
    <row r="32" spans="1:7">
      <c r="A32" s="161"/>
      <c r="B32" s="164"/>
      <c r="C32" s="165"/>
      <c r="D32" s="165"/>
      <c r="E32" s="165"/>
      <c r="F32" s="170"/>
      <c r="G32" s="213"/>
    </row>
    <row r="33" spans="1:7">
      <c r="A33" s="161"/>
      <c r="B33" s="164"/>
      <c r="C33" s="165"/>
      <c r="D33" s="165"/>
      <c r="E33" s="165"/>
      <c r="F33" s="170"/>
      <c r="G33" s="213"/>
    </row>
    <row r="34" spans="1:7">
      <c r="A34" s="154"/>
      <c r="B34" s="164"/>
      <c r="C34" s="164"/>
      <c r="D34" s="164"/>
      <c r="E34" s="164"/>
      <c r="F34" s="170"/>
      <c r="G34" s="173"/>
    </row>
    <row r="35" spans="1:7">
      <c r="A35" s="154"/>
      <c r="B35" s="167"/>
      <c r="C35" s="167"/>
      <c r="D35" s="167"/>
      <c r="E35" s="164"/>
      <c r="F35" s="172"/>
      <c r="G35" s="173"/>
    </row>
    <row r="36" spans="1:7">
      <c r="A36" s="154"/>
      <c r="B36" s="167"/>
      <c r="C36" s="167"/>
      <c r="D36" s="167"/>
      <c r="E36" s="164"/>
      <c r="F36" s="166"/>
      <c r="G36" s="173"/>
    </row>
    <row r="37" spans="1:7">
      <c r="A37" s="173" t="s">
        <v>104</v>
      </c>
      <c r="B37" s="173">
        <f t="shared" ref="B37:G37" si="1">SUM(B5:B29)</f>
        <v>304404.15999999997</v>
      </c>
      <c r="C37" s="173">
        <f t="shared" si="1"/>
        <v>38715.689999999995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343119.85</v>
      </c>
    </row>
    <row r="38" spans="1:7">
      <c r="A38" s="174" t="s">
        <v>130</v>
      </c>
      <c r="B38" s="175">
        <f>SUM(B37+C37)-C53</f>
        <v>339203.85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560445.53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51.75">
      <c r="A43" s="187" t="s">
        <v>133</v>
      </c>
      <c r="B43" s="182"/>
      <c r="C43" s="188" t="s">
        <v>134</v>
      </c>
      <c r="D43" s="183"/>
      <c r="E43" s="183"/>
      <c r="F43" s="188" t="s">
        <v>135</v>
      </c>
      <c r="G43" s="185"/>
    </row>
    <row r="44" spans="1:7">
      <c r="A44" s="189">
        <v>43894</v>
      </c>
      <c r="B44" s="190"/>
      <c r="C44" s="191">
        <v>1958</v>
      </c>
      <c r="D44" s="183"/>
      <c r="E44" s="192"/>
      <c r="F44" s="193"/>
      <c r="G44" s="185"/>
    </row>
    <row r="45" spans="1:7">
      <c r="A45" s="194">
        <v>43896</v>
      </c>
      <c r="B45" s="195">
        <f>5923.49+830.43+3264.68+3371.58+4680+3888.2+830.43+8656.8+328.36+6207+1597.5+3301.2+3727.5+5700.2+2274.88+830.43+2451.4+5392.6+500+830.43+4152.2</f>
        <v>68739.31</v>
      </c>
      <c r="C45" s="191"/>
      <c r="D45" s="183"/>
      <c r="E45" s="192"/>
      <c r="F45" s="196"/>
      <c r="G45" s="185"/>
    </row>
    <row r="46" spans="1:7">
      <c r="A46" s="194">
        <v>43903</v>
      </c>
      <c r="B46" s="195"/>
      <c r="C46" s="197">
        <v>1958</v>
      </c>
      <c r="D46" s="183"/>
      <c r="E46" s="192"/>
      <c r="F46" s="191"/>
      <c r="G46" s="185"/>
    </row>
    <row r="47" spans="1:7">
      <c r="A47" s="198">
        <v>43913</v>
      </c>
      <c r="B47">
        <f>6443.2+830.43+3110.93+6079+1183+1137.55+6985.95+4680+3533.25+1054.52+3301.2+2402.4+7332+8656.8+1597.5+300+2662.5+6944.11+8276+8656.8+7776.4+830.43+6025.75+830.43+9500+1054.52+7776.4+5325+2832.8+3800+2631+830.43+1048.7+1054.52+1054.52+830.43+4902.8+3989.44+1704.2+3427.05+1333.5+4680</f>
        <v>158405.45999999996</v>
      </c>
      <c r="C47" s="191"/>
      <c r="D47" s="183"/>
      <c r="E47" s="192"/>
      <c r="F47" s="191"/>
      <c r="G47" s="185"/>
    </row>
    <row r="48" spans="1:7">
      <c r="A48" s="198">
        <v>43917</v>
      </c>
      <c r="B48" s="195">
        <f>641.2+1511.2+644+6093+8276+6423.77+2801.6+3301.53+251+300+5720.46+641.2+569+1597.5+830.43+641.2+4552.6+3727.5+641.2+11220.16+7600+2390.4+8848.69+2340+2631+3501.78+11000</f>
        <v>98696.419999999984</v>
      </c>
      <c r="C48" s="191"/>
      <c r="D48" s="183"/>
      <c r="E48" s="192"/>
      <c r="F48" s="191"/>
      <c r="G48" s="185"/>
    </row>
    <row r="49" spans="1:7">
      <c r="A49" s="198"/>
      <c r="B49" s="195"/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SUM(B44:B52)-D37</f>
        <v>325841.18999999994</v>
      </c>
      <c r="C53" s="200">
        <f>SUM(C44:C52)</f>
        <v>3916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234604.34000000008</v>
      </c>
      <c r="C54" s="200">
        <f>SUM(C44:C52)</f>
        <v>3916</v>
      </c>
      <c r="D54" s="203">
        <f>B54</f>
        <v>234604.34000000008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workbookViewId="0">
      <selection activeCell="A24" sqref="A24"/>
    </sheetView>
  </sheetViews>
  <sheetFormatPr defaultRowHeight="12.75"/>
  <cols>
    <col min="1" max="1" width="13.42578125" customWidth="1"/>
    <col min="2" max="2" width="13.5703125" customWidth="1"/>
    <col min="3" max="3" width="11.7109375" customWidth="1"/>
    <col min="4" max="4" width="13.42578125" customWidth="1"/>
    <col min="5" max="5" width="12.855468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 ht="15">
      <c r="A4" s="205" t="s">
        <v>106</v>
      </c>
      <c r="B4" s="152"/>
      <c r="C4" s="206">
        <v>135407.43000000005</v>
      </c>
      <c r="D4" s="204"/>
      <c r="E4" s="205"/>
      <c r="F4" s="153"/>
      <c r="G4" s="212">
        <f>B4+F4</f>
        <v>0</v>
      </c>
    </row>
    <row r="5" spans="1:7">
      <c r="A5" s="154">
        <v>43864</v>
      </c>
      <c r="B5" s="155">
        <v>2536.5</v>
      </c>
      <c r="C5" s="155"/>
      <c r="D5" s="156"/>
      <c r="E5" s="157"/>
      <c r="F5" s="158"/>
      <c r="G5" s="211">
        <f t="shared" ref="G5:G29" si="0">SUM(B5:F5)</f>
        <v>2536.5</v>
      </c>
    </row>
    <row r="6" spans="1:7">
      <c r="A6" s="154">
        <v>43865</v>
      </c>
      <c r="B6" s="155">
        <v>12116.56</v>
      </c>
      <c r="C6" s="155"/>
      <c r="D6" s="157"/>
      <c r="E6" s="157"/>
      <c r="F6" s="159"/>
      <c r="G6" s="211">
        <f t="shared" si="0"/>
        <v>12116.56</v>
      </c>
    </row>
    <row r="7" spans="1:7">
      <c r="A7" s="154">
        <v>43866</v>
      </c>
      <c r="B7" s="155">
        <v>31281.39</v>
      </c>
      <c r="C7" s="160"/>
      <c r="D7" s="156"/>
      <c r="E7" s="155"/>
      <c r="F7" s="159"/>
      <c r="G7" s="211">
        <f t="shared" si="0"/>
        <v>31281.39</v>
      </c>
    </row>
    <row r="8" spans="1:7">
      <c r="A8" s="161">
        <v>43867</v>
      </c>
      <c r="B8" s="155">
        <v>32178.73</v>
      </c>
      <c r="C8" s="155">
        <v>1612.47</v>
      </c>
      <c r="D8" s="162"/>
      <c r="E8" s="162"/>
      <c r="F8" s="159"/>
      <c r="G8" s="211">
        <f t="shared" si="0"/>
        <v>33791.199999999997</v>
      </c>
    </row>
    <row r="9" spans="1:7">
      <c r="A9" s="161">
        <v>43868</v>
      </c>
      <c r="B9" s="155">
        <v>15402.59</v>
      </c>
      <c r="C9" s="155">
        <v>1727.65</v>
      </c>
      <c r="D9" s="162"/>
      <c r="E9" s="162"/>
      <c r="F9" s="159"/>
      <c r="G9" s="211">
        <f t="shared" si="0"/>
        <v>17130.240000000002</v>
      </c>
    </row>
    <row r="10" spans="1:7">
      <c r="A10" s="161">
        <v>43871</v>
      </c>
      <c r="B10" s="155">
        <f>14758.29+31303.38</f>
        <v>46061.67</v>
      </c>
      <c r="C10" s="160">
        <v>6392.28</v>
      </c>
      <c r="D10" s="162"/>
      <c r="E10" s="162"/>
      <c r="F10" s="159"/>
      <c r="G10" s="211">
        <f t="shared" si="0"/>
        <v>52453.95</v>
      </c>
    </row>
    <row r="11" spans="1:7">
      <c r="A11" s="161">
        <v>43872</v>
      </c>
      <c r="B11" s="155">
        <v>22734.33</v>
      </c>
      <c r="C11" s="155">
        <v>1879.47</v>
      </c>
      <c r="D11" s="162"/>
      <c r="E11" s="162"/>
      <c r="F11" s="158"/>
      <c r="G11" s="211">
        <f t="shared" si="0"/>
        <v>24613.800000000003</v>
      </c>
    </row>
    <row r="12" spans="1:7">
      <c r="A12" s="161">
        <v>43873</v>
      </c>
      <c r="B12" s="155">
        <f>22307.57</f>
        <v>22307.57</v>
      </c>
      <c r="C12" s="155">
        <v>6449.89</v>
      </c>
      <c r="D12" s="162"/>
      <c r="E12" s="162"/>
      <c r="F12" s="158"/>
      <c r="G12" s="211">
        <f t="shared" si="0"/>
        <v>28757.46</v>
      </c>
    </row>
    <row r="13" spans="1:7">
      <c r="A13" s="161">
        <v>43874</v>
      </c>
      <c r="B13" s="155">
        <v>22165.72</v>
      </c>
      <c r="C13" s="155">
        <v>2076.9</v>
      </c>
      <c r="D13" s="163"/>
      <c r="E13" s="162"/>
      <c r="F13" s="158"/>
      <c r="G13" s="211">
        <f t="shared" si="0"/>
        <v>24242.620000000003</v>
      </c>
    </row>
    <row r="14" spans="1:7">
      <c r="A14" s="161">
        <v>43875</v>
      </c>
      <c r="B14" s="155">
        <v>26531.95</v>
      </c>
      <c r="C14" s="155">
        <v>1612.47</v>
      </c>
      <c r="D14" s="162"/>
      <c r="E14" s="162"/>
      <c r="F14" s="158"/>
      <c r="G14" s="211">
        <f t="shared" si="0"/>
        <v>28144.420000000002</v>
      </c>
    </row>
    <row r="15" spans="1:7">
      <c r="A15" s="161">
        <v>43878</v>
      </c>
      <c r="B15" s="155">
        <f>9555.46+48101.86</f>
        <v>57657.32</v>
      </c>
      <c r="C15" s="160">
        <f>2764.23+4837.42</f>
        <v>7601.65</v>
      </c>
      <c r="D15" s="162"/>
      <c r="E15" s="162"/>
      <c r="F15" s="159"/>
      <c r="G15" s="211">
        <f t="shared" si="0"/>
        <v>65258.97</v>
      </c>
    </row>
    <row r="16" spans="1:7">
      <c r="A16" s="161">
        <v>43879</v>
      </c>
      <c r="B16" s="191">
        <v>15427.9</v>
      </c>
      <c r="C16" s="191">
        <v>1382.12</v>
      </c>
      <c r="D16" s="165"/>
      <c r="E16" s="165"/>
      <c r="F16" s="166"/>
      <c r="G16" s="211">
        <f t="shared" si="0"/>
        <v>16810.02</v>
      </c>
    </row>
    <row r="17" spans="1:7">
      <c r="A17" s="161">
        <v>43880</v>
      </c>
      <c r="B17" s="207">
        <v>10059.61</v>
      </c>
      <c r="C17" s="208">
        <v>2764.24</v>
      </c>
      <c r="D17" s="165"/>
      <c r="E17" s="165"/>
      <c r="F17" s="166"/>
      <c r="G17" s="211">
        <f t="shared" si="0"/>
        <v>12823.85</v>
      </c>
    </row>
    <row r="18" spans="1:7">
      <c r="A18" s="161">
        <v>43881</v>
      </c>
      <c r="B18" s="207">
        <v>14929.44</v>
      </c>
      <c r="C18" s="208">
        <v>1497.29</v>
      </c>
      <c r="D18" s="165"/>
      <c r="E18" s="165"/>
      <c r="F18" s="166"/>
      <c r="G18" s="211">
        <f t="shared" si="0"/>
        <v>16426.73</v>
      </c>
    </row>
    <row r="19" spans="1:7">
      <c r="A19" s="161">
        <v>43882</v>
      </c>
      <c r="B19" s="191">
        <v>7814.38</v>
      </c>
      <c r="C19" s="208"/>
      <c r="D19" s="165"/>
      <c r="E19" s="165"/>
      <c r="F19" s="166"/>
      <c r="G19" s="211">
        <f t="shared" si="0"/>
        <v>7814.38</v>
      </c>
    </row>
    <row r="20" spans="1:7">
      <c r="A20" s="161">
        <v>43886</v>
      </c>
      <c r="B20" s="191">
        <v>4460.47</v>
      </c>
      <c r="C20" s="209">
        <v>1151.76</v>
      </c>
      <c r="D20" s="168"/>
      <c r="E20" s="165"/>
      <c r="F20" s="166"/>
      <c r="G20" s="211">
        <f t="shared" si="0"/>
        <v>5612.2300000000005</v>
      </c>
    </row>
    <row r="21" spans="1:7">
      <c r="A21" s="161">
        <v>43887</v>
      </c>
      <c r="B21" s="191">
        <v>691.06</v>
      </c>
      <c r="C21" s="208"/>
      <c r="D21" s="165"/>
      <c r="E21" s="165"/>
      <c r="F21" s="169"/>
      <c r="G21" s="211">
        <f t="shared" si="0"/>
        <v>691.06</v>
      </c>
    </row>
    <row r="22" spans="1:7">
      <c r="A22" s="161">
        <v>43888</v>
      </c>
      <c r="B22" s="191">
        <v>11650.1</v>
      </c>
      <c r="C22" s="208"/>
      <c r="D22" s="165"/>
      <c r="E22" s="165"/>
      <c r="F22" s="170"/>
      <c r="G22" s="211">
        <f t="shared" si="0"/>
        <v>11650.1</v>
      </c>
    </row>
    <row r="23" spans="1:7">
      <c r="A23" s="161">
        <v>43889</v>
      </c>
      <c r="B23" s="191">
        <v>1727.65</v>
      </c>
      <c r="C23" s="208"/>
      <c r="D23" s="165"/>
      <c r="E23" s="165"/>
      <c r="F23" s="170"/>
      <c r="G23" s="211">
        <f t="shared" si="0"/>
        <v>1727.65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3"/>
    </row>
    <row r="31" spans="1:7">
      <c r="A31" s="161"/>
      <c r="B31" s="164"/>
      <c r="C31" s="165"/>
      <c r="D31" s="165"/>
      <c r="E31" s="165"/>
      <c r="F31" s="170"/>
      <c r="G31" s="213"/>
    </row>
    <row r="32" spans="1:7">
      <c r="A32" s="161"/>
      <c r="B32" s="164"/>
      <c r="C32" s="165"/>
      <c r="D32" s="165"/>
      <c r="E32" s="165"/>
      <c r="F32" s="170"/>
      <c r="G32" s="213"/>
    </row>
    <row r="33" spans="1:7">
      <c r="A33" s="161"/>
      <c r="B33" s="164"/>
      <c r="C33" s="165"/>
      <c r="D33" s="165"/>
      <c r="E33" s="165"/>
      <c r="F33" s="170"/>
      <c r="G33" s="213"/>
    </row>
    <row r="34" spans="1:7">
      <c r="A34" s="154"/>
      <c r="B34" s="164"/>
      <c r="C34" s="164"/>
      <c r="D34" s="164"/>
      <c r="E34" s="164"/>
      <c r="F34" s="170"/>
      <c r="G34" s="173"/>
    </row>
    <row r="35" spans="1:7">
      <c r="A35" s="154"/>
      <c r="B35" s="167"/>
      <c r="C35" s="167"/>
      <c r="D35" s="167"/>
      <c r="E35" s="164"/>
      <c r="F35" s="172"/>
      <c r="G35" s="173"/>
    </row>
    <row r="36" spans="1:7">
      <c r="A36" s="154"/>
      <c r="B36" s="167"/>
      <c r="C36" s="167"/>
      <c r="D36" s="167"/>
      <c r="E36" s="164"/>
      <c r="F36" s="166"/>
      <c r="G36" s="173"/>
    </row>
    <row r="37" spans="1:7">
      <c r="A37" s="173" t="s">
        <v>104</v>
      </c>
      <c r="B37" s="173">
        <f t="shared" ref="B37:G37" si="1">SUM(B5:B29)</f>
        <v>357734.94</v>
      </c>
      <c r="C37" s="173">
        <f t="shared" si="1"/>
        <v>36148.19</v>
      </c>
      <c r="D37" s="173">
        <f t="shared" si="1"/>
        <v>0</v>
      </c>
      <c r="E37" s="173">
        <f t="shared" si="1"/>
        <v>0</v>
      </c>
      <c r="F37" s="173">
        <f t="shared" si="1"/>
        <v>0</v>
      </c>
      <c r="G37" s="173">
        <f t="shared" si="1"/>
        <v>393883.12999999995</v>
      </c>
    </row>
    <row r="38" spans="1:7">
      <c r="A38" s="174" t="s">
        <v>130</v>
      </c>
      <c r="B38" s="175">
        <f>SUM(B37+C37)-C53</f>
        <v>391873.53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527280.96000000008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51.75">
      <c r="A43" s="187" t="s">
        <v>133</v>
      </c>
      <c r="B43" s="182"/>
      <c r="C43" s="188" t="s">
        <v>134</v>
      </c>
      <c r="D43" s="183"/>
      <c r="E43" s="183"/>
      <c r="F43" s="188" t="s">
        <v>135</v>
      </c>
      <c r="G43" s="185"/>
    </row>
    <row r="44" spans="1:7">
      <c r="A44" s="189">
        <v>43866</v>
      </c>
      <c r="B44" s="190">
        <f>830.43+3961.44+5019.5+4680+500+830.43+7926.33+9552.78+4549.9+830.43+500+8276+830.43+830.43+6443.2+569+830.43+2451.4+4137.94+5325+2885.66+576.45+9720.5+2819.08+1400.85+8656.8+7101</f>
        <v>102035.41000000002</v>
      </c>
      <c r="C44" s="191">
        <f>691.06+575.88</f>
        <v>1266.94</v>
      </c>
      <c r="D44" s="183"/>
      <c r="E44" s="192"/>
      <c r="F44" s="193"/>
      <c r="G44" s="185"/>
    </row>
    <row r="45" spans="1:7">
      <c r="A45" s="194">
        <v>43871</v>
      </c>
      <c r="B45" s="195"/>
      <c r="C45" s="191">
        <v>742.66</v>
      </c>
      <c r="D45" s="183"/>
      <c r="E45" s="192"/>
      <c r="F45" s="196"/>
      <c r="G45" s="185"/>
    </row>
    <row r="46" spans="1:7">
      <c r="A46" s="194">
        <v>43872</v>
      </c>
      <c r="B46" s="195"/>
      <c r="C46" s="197"/>
      <c r="D46" s="183"/>
      <c r="E46" s="192"/>
      <c r="F46" s="191"/>
      <c r="G46" s="185"/>
    </row>
    <row r="47" spans="1:7">
      <c r="A47" s="198">
        <v>43874</v>
      </c>
      <c r="B47" s="195">
        <f>891+796.8+2451.4+8276+3400+3961.44+2200.28+8656.8+4342+2631+830.43+4260+2340+830.43+6750.8+830.43+4008.9+500+2025.27+830.43+11047.97+1065+1848+3001.84+830.43</f>
        <v>78606.649999999994</v>
      </c>
      <c r="C47" s="191"/>
      <c r="D47" s="183"/>
      <c r="E47" s="192"/>
      <c r="F47" s="191"/>
      <c r="G47" s="185"/>
    </row>
    <row r="48" spans="1:7">
      <c r="A48" s="198">
        <v>43881</v>
      </c>
      <c r="B48" s="195">
        <v>3400</v>
      </c>
      <c r="C48" s="191"/>
      <c r="D48" s="183"/>
      <c r="E48" s="192"/>
      <c r="F48" s="191"/>
      <c r="G48" s="185"/>
    </row>
    <row r="49" spans="1:7">
      <c r="A49" s="198">
        <v>43882</v>
      </c>
      <c r="B49" s="195">
        <f>8656.8+5119+664.34+4849.85+664.34+830.43+2340+664.34+664.34+500+1286.11+4138+6672.36+664.34+1400.8+3164.4</f>
        <v>42279.45</v>
      </c>
      <c r="C49" s="191"/>
      <c r="D49" s="183"/>
      <c r="E49" s="192"/>
      <c r="F49" s="191"/>
      <c r="G49" s="185"/>
    </row>
    <row r="50" spans="1:7">
      <c r="A50" s="198">
        <v>43888</v>
      </c>
      <c r="B50" s="195">
        <f>4138+6443.2+8656.8+830.43+2340+7776.4+687+7331.96+1138+3195+830.43+500+1829.05+3421.66+2631+1048.7+3301.2+1751+3400+1183.66+8330.22+830.43</f>
        <v>71594.14</v>
      </c>
      <c r="C50" s="191"/>
      <c r="D50" s="183"/>
      <c r="E50" s="192"/>
      <c r="F50" s="191"/>
      <c r="G50" s="185"/>
    </row>
    <row r="51" spans="1:7">
      <c r="A51" s="198">
        <v>43889</v>
      </c>
      <c r="B51" s="195">
        <f>2390.4+4902.8+830.43</f>
        <v>8123.630000000001</v>
      </c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SUM(B44:B52)-D37</f>
        <v>306039.28000000003</v>
      </c>
      <c r="C53" s="200">
        <f>SUM(C44:C52)</f>
        <v>2009.6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221241.68000000005</v>
      </c>
      <c r="C54" s="200">
        <f>SUM(C44:C52)</f>
        <v>2009.6</v>
      </c>
      <c r="D54" s="203">
        <f>B54</f>
        <v>221241.68000000005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C4" sqref="C4"/>
    </sheetView>
  </sheetViews>
  <sheetFormatPr defaultRowHeight="12.75"/>
  <cols>
    <col min="1" max="1" width="13.42578125" customWidth="1"/>
    <col min="2" max="2" width="13.5703125" customWidth="1"/>
    <col min="3" max="3" width="11.7109375" customWidth="1"/>
    <col min="4" max="4" width="13.42578125" customWidth="1"/>
    <col min="5" max="5" width="12.8554687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45">
      <c r="A3" s="149" t="s">
        <v>124</v>
      </c>
      <c r="B3" s="150" t="s">
        <v>125</v>
      </c>
      <c r="C3" s="151" t="s">
        <v>126</v>
      </c>
      <c r="D3" s="151" t="s">
        <v>127</v>
      </c>
      <c r="E3" s="151" t="s">
        <v>128</v>
      </c>
      <c r="F3" s="150" t="s">
        <v>129</v>
      </c>
      <c r="G3" s="211" t="s">
        <v>102</v>
      </c>
    </row>
    <row r="4" spans="1:7" ht="15">
      <c r="A4" s="205" t="s">
        <v>106</v>
      </c>
      <c r="B4" s="152"/>
      <c r="C4" s="206">
        <v>11259.89</v>
      </c>
      <c r="D4" s="204"/>
      <c r="E4" s="205"/>
      <c r="F4" s="153"/>
      <c r="G4" s="212">
        <f>B4+F4</f>
        <v>0</v>
      </c>
    </row>
    <row r="5" spans="1:7">
      <c r="A5" s="154">
        <v>43833</v>
      </c>
      <c r="B5" s="155">
        <v>2000</v>
      </c>
      <c r="C5" s="155"/>
      <c r="D5" s="156"/>
      <c r="E5" s="157"/>
      <c r="F5" s="158"/>
      <c r="G5" s="211">
        <f t="shared" ref="G5:G29" si="0">SUM(B5:F5)</f>
        <v>2000</v>
      </c>
    </row>
    <row r="6" spans="1:7">
      <c r="A6" s="154">
        <v>43840</v>
      </c>
      <c r="B6" s="155">
        <v>9037.9500000000007</v>
      </c>
      <c r="C6" s="155"/>
      <c r="D6" s="157"/>
      <c r="E6" s="157"/>
      <c r="F6" s="159"/>
      <c r="G6" s="211">
        <f t="shared" si="0"/>
        <v>9037.9500000000007</v>
      </c>
    </row>
    <row r="7" spans="1:7">
      <c r="A7" s="154">
        <v>43843</v>
      </c>
      <c r="B7" s="155">
        <f>61863.9+11169.5</f>
        <v>73033.399999999994</v>
      </c>
      <c r="C7" s="160">
        <v>5696</v>
      </c>
      <c r="D7" s="156"/>
      <c r="E7" s="155"/>
      <c r="F7" s="159"/>
      <c r="G7" s="211">
        <f t="shared" si="0"/>
        <v>78729.399999999994</v>
      </c>
    </row>
    <row r="8" spans="1:7">
      <c r="A8" s="161">
        <v>43844</v>
      </c>
      <c r="B8" s="155">
        <f>34158.2+53631.4</f>
        <v>87789.6</v>
      </c>
      <c r="C8" s="155">
        <v>7743</v>
      </c>
      <c r="D8" s="162"/>
      <c r="E8" s="162"/>
      <c r="F8" s="159"/>
      <c r="G8" s="211">
        <f t="shared" si="0"/>
        <v>95532.6</v>
      </c>
    </row>
    <row r="9" spans="1:7">
      <c r="A9" s="161">
        <v>43846</v>
      </c>
      <c r="B9" s="155">
        <v>36258.6</v>
      </c>
      <c r="C9" s="155">
        <v>9701</v>
      </c>
      <c r="D9" s="162"/>
      <c r="E9" s="162"/>
      <c r="F9" s="159"/>
      <c r="G9" s="211">
        <f t="shared" si="0"/>
        <v>45959.6</v>
      </c>
    </row>
    <row r="10" spans="1:7">
      <c r="A10" s="161">
        <v>43847</v>
      </c>
      <c r="B10" s="155">
        <v>25511.05</v>
      </c>
      <c r="C10" s="160">
        <v>5874</v>
      </c>
      <c r="D10" s="162"/>
      <c r="E10" s="162"/>
      <c r="F10" s="159"/>
      <c r="G10" s="211">
        <f t="shared" si="0"/>
        <v>31385.05</v>
      </c>
    </row>
    <row r="11" spans="1:7">
      <c r="A11" s="161">
        <v>43850</v>
      </c>
      <c r="B11" s="155">
        <v>27799.25</v>
      </c>
      <c r="C11" s="155">
        <f>2403+267</f>
        <v>2670</v>
      </c>
      <c r="D11" s="162">
        <f>830.43+830.43+830.43+830.43+830.43+830.43+830.43</f>
        <v>5813.01</v>
      </c>
      <c r="E11" s="162"/>
      <c r="F11" s="158"/>
      <c r="G11" s="211">
        <f t="shared" si="0"/>
        <v>36282.26</v>
      </c>
    </row>
    <row r="12" spans="1:7">
      <c r="A12" s="161">
        <v>43851</v>
      </c>
      <c r="B12" s="155">
        <v>9220.4</v>
      </c>
      <c r="C12" s="155"/>
      <c r="D12" s="162"/>
      <c r="E12" s="162"/>
      <c r="F12" s="158"/>
      <c r="G12" s="211">
        <f t="shared" si="0"/>
        <v>9220.4</v>
      </c>
    </row>
    <row r="13" spans="1:7">
      <c r="A13" s="161">
        <v>43852</v>
      </c>
      <c r="B13" s="155">
        <v>5607</v>
      </c>
      <c r="C13" s="155">
        <v>623</v>
      </c>
      <c r="D13" s="163"/>
      <c r="E13" s="162"/>
      <c r="F13" s="158"/>
      <c r="G13" s="211">
        <f t="shared" si="0"/>
        <v>6230</v>
      </c>
    </row>
    <row r="14" spans="1:7">
      <c r="A14" s="161">
        <v>43853</v>
      </c>
      <c r="B14" s="155">
        <v>14030.85</v>
      </c>
      <c r="C14" s="155"/>
      <c r="D14" s="162"/>
      <c r="E14" s="162"/>
      <c r="F14" s="158"/>
      <c r="G14" s="211">
        <f t="shared" si="0"/>
        <v>14030.85</v>
      </c>
    </row>
    <row r="15" spans="1:7">
      <c r="A15" s="161">
        <v>43854</v>
      </c>
      <c r="B15" s="155">
        <v>10057</v>
      </c>
      <c r="C15" s="160"/>
      <c r="D15" s="162"/>
      <c r="E15" s="162"/>
      <c r="F15" s="159"/>
      <c r="G15" s="211">
        <f t="shared" si="0"/>
        <v>10057</v>
      </c>
    </row>
    <row r="16" spans="1:7">
      <c r="A16" s="161">
        <v>43857</v>
      </c>
      <c r="B16" s="191">
        <f>16020+2581</f>
        <v>18601</v>
      </c>
      <c r="C16" s="191">
        <f>2296.2+267</f>
        <v>2563.1999999999998</v>
      </c>
      <c r="D16" s="165"/>
      <c r="E16" s="165"/>
      <c r="F16" s="166"/>
      <c r="G16" s="211">
        <f t="shared" si="0"/>
        <v>21164.2</v>
      </c>
    </row>
    <row r="17" spans="1:7">
      <c r="A17" s="161">
        <v>43858</v>
      </c>
      <c r="B17" s="207">
        <v>7387</v>
      </c>
      <c r="C17" s="208"/>
      <c r="D17" s="165"/>
      <c r="E17" s="165"/>
      <c r="F17" s="166"/>
      <c r="G17" s="211">
        <f t="shared" si="0"/>
        <v>7387</v>
      </c>
    </row>
    <row r="18" spans="1:7">
      <c r="A18" s="161">
        <v>43859</v>
      </c>
      <c r="B18" s="207">
        <v>4246</v>
      </c>
      <c r="C18" s="208">
        <v>1246</v>
      </c>
      <c r="D18" s="165"/>
      <c r="E18" s="165"/>
      <c r="F18" s="166"/>
      <c r="G18" s="211">
        <f t="shared" si="0"/>
        <v>5492</v>
      </c>
    </row>
    <row r="19" spans="1:7">
      <c r="A19" s="161">
        <v>43843</v>
      </c>
      <c r="B19" s="191">
        <v>2180.5</v>
      </c>
      <c r="C19" s="208">
        <v>1068</v>
      </c>
      <c r="D19" s="165"/>
      <c r="E19" s="165"/>
      <c r="F19" s="166"/>
      <c r="G19" s="211">
        <f t="shared" si="0"/>
        <v>3248.5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165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3"/>
    </row>
    <row r="31" spans="1:7">
      <c r="A31" s="161"/>
      <c r="B31" s="164"/>
      <c r="C31" s="165"/>
      <c r="D31" s="165"/>
      <c r="E31" s="165"/>
      <c r="F31" s="170"/>
      <c r="G31" s="213"/>
    </row>
    <row r="32" spans="1:7">
      <c r="A32" s="161"/>
      <c r="B32" s="164"/>
      <c r="C32" s="165"/>
      <c r="D32" s="165"/>
      <c r="E32" s="165"/>
      <c r="F32" s="170"/>
      <c r="G32" s="213"/>
    </row>
    <row r="33" spans="1:7">
      <c r="A33" s="161"/>
      <c r="B33" s="164"/>
      <c r="C33" s="165"/>
      <c r="D33" s="165"/>
      <c r="E33" s="165"/>
      <c r="F33" s="170"/>
      <c r="G33" s="213"/>
    </row>
    <row r="34" spans="1:7">
      <c r="A34" s="154"/>
      <c r="B34" s="164"/>
      <c r="C34" s="164"/>
      <c r="D34" s="164"/>
      <c r="E34" s="164"/>
      <c r="F34" s="170"/>
      <c r="G34" s="173"/>
    </row>
    <row r="35" spans="1:7">
      <c r="A35" s="154"/>
      <c r="B35" s="167"/>
      <c r="C35" s="167"/>
      <c r="D35" s="167"/>
      <c r="E35" s="164"/>
      <c r="F35" s="172"/>
      <c r="G35" s="173"/>
    </row>
    <row r="36" spans="1:7">
      <c r="A36" s="154"/>
      <c r="B36" s="167"/>
      <c r="C36" s="167"/>
      <c r="D36" s="167"/>
      <c r="E36" s="164"/>
      <c r="F36" s="166"/>
      <c r="G36" s="173"/>
    </row>
    <row r="37" spans="1:7">
      <c r="A37" s="173" t="s">
        <v>104</v>
      </c>
      <c r="B37" s="173">
        <f t="shared" ref="B37:G37" si="1">SUM(B5:B29)</f>
        <v>332759.59999999998</v>
      </c>
      <c r="C37" s="173">
        <f t="shared" si="1"/>
        <v>37184.199999999997</v>
      </c>
      <c r="D37" s="173">
        <f t="shared" si="1"/>
        <v>5813.01</v>
      </c>
      <c r="E37" s="173">
        <f t="shared" si="1"/>
        <v>0</v>
      </c>
      <c r="F37" s="173">
        <f t="shared" si="1"/>
        <v>0</v>
      </c>
      <c r="G37" s="173">
        <f t="shared" si="1"/>
        <v>375756.81000000006</v>
      </c>
    </row>
    <row r="38" spans="1:7">
      <c r="A38" s="174" t="s">
        <v>130</v>
      </c>
      <c r="B38" s="175">
        <f>SUM(B37+C37)-C53</f>
        <v>369943.8</v>
      </c>
      <c r="C38" s="173"/>
      <c r="D38" s="173"/>
      <c r="E38" s="176"/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131</v>
      </c>
      <c r="B41" s="182">
        <f>B38+B4+C4</f>
        <v>381203.69</v>
      </c>
      <c r="C41" s="183"/>
      <c r="D41" s="183"/>
      <c r="E41" s="183" t="s">
        <v>132</v>
      </c>
      <c r="F41" s="184">
        <f>F4+F37-F54</f>
        <v>0</v>
      </c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51.75">
      <c r="A43" s="187" t="s">
        <v>133</v>
      </c>
      <c r="B43" s="182"/>
      <c r="C43" s="188" t="s">
        <v>134</v>
      </c>
      <c r="D43" s="183"/>
      <c r="E43" s="183"/>
      <c r="F43" s="188" t="s">
        <v>135</v>
      </c>
      <c r="G43" s="185"/>
    </row>
    <row r="44" spans="1:7">
      <c r="A44" s="189">
        <v>43847</v>
      </c>
      <c r="B44" s="190">
        <f>3102.73+830.43+6400.6+830.43+5329.2+830.43+8276+4443.3+586.2+6093+2635.84+830.43+367.46+1511.2+3664.4+830.43+9126.57+2250.14+4680+2451.4+830.43+569+3888.2+8656.8+3187.66+830.43+3502</f>
        <v>86534.709999999992</v>
      </c>
      <c r="C44" s="191"/>
      <c r="D44" s="183"/>
      <c r="E44" s="192"/>
      <c r="F44" s="193"/>
      <c r="G44" s="185"/>
    </row>
    <row r="45" spans="1:7">
      <c r="A45" s="194">
        <v>43851</v>
      </c>
      <c r="B45" s="195">
        <f>830.43+830.43+830.43+830.43+830.43+830.43+830.43</f>
        <v>5813.01</v>
      </c>
      <c r="C45" s="191"/>
      <c r="D45" s="183"/>
      <c r="E45" s="192"/>
      <c r="F45" s="196"/>
      <c r="G45" s="185"/>
    </row>
    <row r="46" spans="1:7">
      <c r="A46" s="194">
        <v>43858</v>
      </c>
      <c r="B46" s="195">
        <f>3200.4+830.43+830.43+5325+569+7101+6790.44+3779.7+569+830.43+9720.5+4680+2390.4+8797+6793.4+1315.5+3301.2+2885.66+1511.2+830.43+830.43+12991.86+7020+830.43+1490.64+7805.76+3301.2+2631+5325+9310.5+2451.4+8488.28+3772+830.43+9310.5+10821</f>
        <v>159261.54999999996</v>
      </c>
      <c r="C46" s="197"/>
      <c r="D46" s="183"/>
      <c r="E46" s="192"/>
      <c r="F46" s="191"/>
      <c r="G46" s="185"/>
    </row>
    <row r="47" spans="1:7">
      <c r="A47" s="198"/>
      <c r="B47" s="195"/>
      <c r="C47" s="191"/>
      <c r="D47" s="183"/>
      <c r="E47" s="192"/>
      <c r="F47" s="191"/>
      <c r="G47" s="185"/>
    </row>
    <row r="48" spans="1:7">
      <c r="A48" s="198"/>
      <c r="B48" s="195"/>
      <c r="C48" s="191"/>
      <c r="D48" s="183"/>
      <c r="E48" s="192"/>
      <c r="F48" s="191"/>
      <c r="G48" s="185"/>
    </row>
    <row r="49" spans="1:7">
      <c r="A49" s="198"/>
      <c r="B49" s="195"/>
      <c r="C49" s="191"/>
      <c r="D49" s="183"/>
      <c r="E49" s="192"/>
      <c r="F49" s="191"/>
      <c r="G49" s="185"/>
    </row>
    <row r="50" spans="1:7">
      <c r="A50" s="198"/>
      <c r="B50" s="195"/>
      <c r="C50" s="191"/>
      <c r="D50" s="183"/>
      <c r="E50" s="192"/>
      <c r="F50" s="191"/>
      <c r="G50" s="185"/>
    </row>
    <row r="51" spans="1:7">
      <c r="A51" s="198"/>
      <c r="B51" s="195"/>
      <c r="C51" s="191"/>
      <c r="D51" s="183"/>
      <c r="E51" s="183"/>
      <c r="F51" s="191"/>
      <c r="G51" s="185"/>
    </row>
    <row r="52" spans="1:7">
      <c r="A52" s="198"/>
      <c r="B52" s="195"/>
      <c r="C52" s="191"/>
      <c r="D52" s="199" t="s">
        <v>106</v>
      </c>
      <c r="E52" s="183"/>
      <c r="F52" s="191"/>
      <c r="G52" s="185"/>
    </row>
    <row r="53" spans="1:7" ht="15.75">
      <c r="A53" s="198" t="s">
        <v>136</v>
      </c>
      <c r="B53" s="200">
        <f>SUM(B44:B52)-D37</f>
        <v>245796.25999999995</v>
      </c>
      <c r="C53" s="200">
        <f>SUM(C44:C52)</f>
        <v>0</v>
      </c>
      <c r="D53" s="201"/>
      <c r="E53" s="183"/>
      <c r="F53" s="191"/>
      <c r="G53" s="185"/>
    </row>
    <row r="54" spans="1:7" ht="36.75">
      <c r="A54" s="202" t="s">
        <v>137</v>
      </c>
      <c r="B54" s="182">
        <f>B41-B53</f>
        <v>135407.43000000005</v>
      </c>
      <c r="C54" s="200">
        <f>SUM(C44:C52)</f>
        <v>0</v>
      </c>
      <c r="D54" s="203">
        <f>B54</f>
        <v>135407.43000000005</v>
      </c>
      <c r="E54" s="183"/>
      <c r="F54" s="173">
        <f>SUM(F44:F53)</f>
        <v>0</v>
      </c>
      <c r="G54" s="185"/>
    </row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zoomScale="90" zoomScaleNormal="100" zoomScaleSheetLayoutView="90" workbookViewId="0">
      <selection activeCell="C39" sqref="C39"/>
    </sheetView>
  </sheetViews>
  <sheetFormatPr defaultRowHeight="12.75"/>
  <cols>
    <col min="1" max="1" width="33" customWidth="1"/>
    <col min="2" max="2" width="8.42578125" customWidth="1"/>
    <col min="3" max="3" width="11.28515625" customWidth="1"/>
    <col min="4" max="4" width="20.7109375" style="376" customWidth="1"/>
    <col min="5" max="5" width="19.7109375" style="376" hidden="1" customWidth="1"/>
    <col min="6" max="6" width="12.5703125" hidden="1" customWidth="1"/>
    <col min="7" max="8" width="10.140625" bestFit="1" customWidth="1"/>
    <col min="25" max="30" width="0" hidden="1" customWidth="1"/>
  </cols>
  <sheetData>
    <row r="1" spans="1:6" ht="18.75" customHeight="1">
      <c r="D1" s="224" t="s">
        <v>139</v>
      </c>
    </row>
    <row r="2" spans="1:6" ht="18" customHeight="1">
      <c r="A2" s="716" t="s">
        <v>222</v>
      </c>
      <c r="B2" s="716"/>
      <c r="C2" s="716"/>
      <c r="D2" s="716"/>
      <c r="E2" s="716"/>
      <c r="F2" s="225"/>
    </row>
    <row r="3" spans="1:6" ht="18" customHeight="1">
      <c r="A3" s="124" t="s">
        <v>252</v>
      </c>
      <c r="E3" s="377"/>
      <c r="F3" s="226"/>
    </row>
    <row r="5" spans="1:6">
      <c r="A5" s="224" t="s">
        <v>140</v>
      </c>
      <c r="B5" s="224"/>
      <c r="C5" s="224"/>
    </row>
    <row r="7" spans="1:6">
      <c r="A7" s="156"/>
      <c r="B7" s="156" t="s">
        <v>209</v>
      </c>
      <c r="C7" s="156" t="s">
        <v>215</v>
      </c>
      <c r="D7" s="378" t="s">
        <v>5</v>
      </c>
      <c r="E7" s="378" t="s">
        <v>6</v>
      </c>
      <c r="F7" s="156" t="s">
        <v>106</v>
      </c>
    </row>
    <row r="8" spans="1:6" ht="21" customHeight="1">
      <c r="A8" s="571" t="s">
        <v>141</v>
      </c>
      <c r="B8" s="571">
        <v>244</v>
      </c>
      <c r="C8" s="701" t="s">
        <v>250</v>
      </c>
      <c r="D8" s="705">
        <f>D9+D13+D22+D26+D23+D29</f>
        <v>318007.95</v>
      </c>
      <c r="E8" s="476">
        <f>E13+E26</f>
        <v>72124.75</v>
      </c>
      <c r="F8" s="473">
        <v>0</v>
      </c>
    </row>
    <row r="9" spans="1:6" ht="30.75" hidden="1" customHeight="1">
      <c r="A9" s="229" t="s">
        <v>228</v>
      </c>
      <c r="B9" s="229">
        <v>244</v>
      </c>
      <c r="C9" s="229"/>
      <c r="D9" s="706">
        <v>0</v>
      </c>
      <c r="E9" s="476"/>
      <c r="F9" s="473"/>
    </row>
    <row r="10" spans="1:6" ht="33.75" hidden="1" customHeight="1">
      <c r="A10" s="683" t="s">
        <v>217</v>
      </c>
      <c r="B10" s="683"/>
      <c r="C10" s="683"/>
      <c r="D10" s="707">
        <v>0</v>
      </c>
      <c r="E10" s="476"/>
      <c r="F10" s="473"/>
    </row>
    <row r="11" spans="1:6" ht="21" hidden="1" customHeight="1">
      <c r="A11" s="685" t="s">
        <v>224</v>
      </c>
      <c r="B11" s="684"/>
      <c r="C11" s="684"/>
      <c r="D11" s="708">
        <v>0</v>
      </c>
      <c r="E11" s="476"/>
      <c r="F11" s="473"/>
    </row>
    <row r="12" spans="1:6" ht="21" hidden="1" customHeight="1">
      <c r="A12" s="685" t="s">
        <v>225</v>
      </c>
      <c r="B12" s="684"/>
      <c r="C12" s="684"/>
      <c r="D12" s="708">
        <v>0</v>
      </c>
      <c r="E12" s="476"/>
      <c r="F12" s="473"/>
    </row>
    <row r="13" spans="1:6" ht="28.5" hidden="1" customHeight="1">
      <c r="A13" s="229" t="s">
        <v>28</v>
      </c>
      <c r="B13" s="229">
        <v>244</v>
      </c>
      <c r="C13" s="229"/>
      <c r="D13" s="706">
        <v>0</v>
      </c>
      <c r="E13" s="232">
        <f>SUM(E15:E20)</f>
        <v>72124.75</v>
      </c>
      <c r="F13" s="496">
        <f t="shared" ref="F13:F27" si="0">D13-E13</f>
        <v>-72124.75</v>
      </c>
    </row>
    <row r="14" spans="1:6" ht="28.5" hidden="1" customHeight="1">
      <c r="A14" s="683" t="s">
        <v>217</v>
      </c>
      <c r="B14" s="683"/>
      <c r="C14" s="683"/>
      <c r="D14" s="707">
        <v>0</v>
      </c>
      <c r="E14" s="232"/>
      <c r="F14" s="496"/>
    </row>
    <row r="15" spans="1:6" ht="30" hidden="1" customHeight="1">
      <c r="A15" s="230" t="s">
        <v>223</v>
      </c>
      <c r="B15" s="229">
        <v>244</v>
      </c>
      <c r="C15" s="229"/>
      <c r="D15" s="709">
        <v>0</v>
      </c>
      <c r="E15" s="231">
        <v>21609.75</v>
      </c>
      <c r="F15" s="497">
        <f t="shared" si="0"/>
        <v>-21609.75</v>
      </c>
    </row>
    <row r="16" spans="1:6" ht="30" hidden="1" customHeight="1">
      <c r="A16" s="230" t="s">
        <v>45</v>
      </c>
      <c r="B16" s="229">
        <v>244</v>
      </c>
      <c r="C16" s="229"/>
      <c r="D16" s="709">
        <v>0</v>
      </c>
      <c r="E16" s="231">
        <v>42677</v>
      </c>
      <c r="F16" s="497">
        <f t="shared" si="0"/>
        <v>-42677</v>
      </c>
    </row>
    <row r="17" spans="1:8" ht="30" hidden="1" customHeight="1">
      <c r="A17" s="230" t="s">
        <v>232</v>
      </c>
      <c r="B17" s="229">
        <v>244</v>
      </c>
      <c r="C17" s="229"/>
      <c r="D17" s="709">
        <v>0</v>
      </c>
      <c r="E17" s="231"/>
      <c r="F17" s="497"/>
    </row>
    <row r="18" spans="1:8" ht="30" hidden="1" customHeight="1">
      <c r="A18" s="230" t="s">
        <v>204</v>
      </c>
      <c r="B18" s="229">
        <v>244</v>
      </c>
      <c r="C18" s="229"/>
      <c r="D18" s="710">
        <v>0</v>
      </c>
      <c r="E18" s="231">
        <v>1290</v>
      </c>
      <c r="F18" s="497">
        <f t="shared" si="0"/>
        <v>-1290</v>
      </c>
    </row>
    <row r="19" spans="1:8" ht="30" hidden="1" customHeight="1">
      <c r="A19" s="230" t="s">
        <v>226</v>
      </c>
      <c r="B19" s="229">
        <v>244</v>
      </c>
      <c r="C19" s="229"/>
      <c r="D19" s="709">
        <v>0</v>
      </c>
      <c r="E19" s="231"/>
      <c r="F19" s="497"/>
    </row>
    <row r="20" spans="1:8" ht="30" hidden="1" customHeight="1">
      <c r="A20" s="230" t="s">
        <v>227</v>
      </c>
      <c r="B20" s="229">
        <v>244</v>
      </c>
      <c r="C20" s="229"/>
      <c r="D20" s="709">
        <v>0</v>
      </c>
      <c r="E20" s="231">
        <v>6548</v>
      </c>
      <c r="F20" s="497">
        <f t="shared" si="0"/>
        <v>-6548</v>
      </c>
    </row>
    <row r="21" spans="1:8" ht="30" hidden="1" customHeight="1">
      <c r="A21" s="230" t="s">
        <v>233</v>
      </c>
      <c r="B21" s="229">
        <v>244</v>
      </c>
      <c r="C21" s="229"/>
      <c r="D21" s="709">
        <v>0</v>
      </c>
      <c r="E21" s="231"/>
      <c r="F21" s="497"/>
    </row>
    <row r="22" spans="1:8" ht="32.25" hidden="1" customHeight="1">
      <c r="A22" s="49" t="s">
        <v>30</v>
      </c>
      <c r="B22" s="229">
        <v>244</v>
      </c>
      <c r="C22" s="229"/>
      <c r="D22" s="706">
        <v>0</v>
      </c>
      <c r="E22" s="232">
        <v>0</v>
      </c>
      <c r="F22" s="228">
        <f t="shared" si="0"/>
        <v>0</v>
      </c>
    </row>
    <row r="23" spans="1:8" ht="32.25" customHeight="1">
      <c r="A23" s="686" t="s">
        <v>31</v>
      </c>
      <c r="B23" s="229">
        <v>244</v>
      </c>
      <c r="C23" s="229"/>
      <c r="D23" s="706">
        <f>D24+D25</f>
        <v>318007.95</v>
      </c>
      <c r="E23" s="379"/>
      <c r="F23" s="228"/>
    </row>
    <row r="24" spans="1:8" ht="32.25" customHeight="1">
      <c r="A24" s="234" t="s">
        <v>249</v>
      </c>
      <c r="B24" s="229">
        <v>244</v>
      </c>
      <c r="C24" s="229" t="s">
        <v>250</v>
      </c>
      <c r="D24" s="706">
        <v>318007.95</v>
      </c>
      <c r="E24" s="379"/>
      <c r="F24" s="228"/>
    </row>
    <row r="25" spans="1:8" ht="32.25" hidden="1" customHeight="1">
      <c r="A25" s="234"/>
      <c r="B25" s="229">
        <v>244</v>
      </c>
      <c r="C25" s="229"/>
      <c r="D25" s="379">
        <v>0</v>
      </c>
      <c r="E25" s="379"/>
      <c r="F25" s="228"/>
    </row>
    <row r="26" spans="1:8" ht="32.25" hidden="1" customHeight="1">
      <c r="A26" s="49" t="s">
        <v>229</v>
      </c>
      <c r="B26" s="229">
        <v>244</v>
      </c>
      <c r="C26" s="229"/>
      <c r="D26" s="232">
        <v>0</v>
      </c>
      <c r="E26" s="232">
        <f>SUM(E27)</f>
        <v>0</v>
      </c>
      <c r="F26" s="228">
        <f>D26-E26</f>
        <v>0</v>
      </c>
    </row>
    <row r="27" spans="1:8" ht="32.25" hidden="1" customHeight="1">
      <c r="A27" s="234" t="s">
        <v>63</v>
      </c>
      <c r="B27" s="229">
        <v>244</v>
      </c>
      <c r="C27" s="229"/>
      <c r="D27" s="379">
        <v>0</v>
      </c>
      <c r="E27" s="379"/>
      <c r="F27" s="228">
        <f t="shared" si="0"/>
        <v>0</v>
      </c>
    </row>
    <row r="28" spans="1:8" ht="38.25" hidden="1" customHeight="1">
      <c r="A28" s="233" t="s">
        <v>157</v>
      </c>
      <c r="B28" s="229">
        <v>244</v>
      </c>
      <c r="C28" s="229"/>
      <c r="D28" s="231"/>
      <c r="E28" s="231"/>
      <c r="F28" s="228"/>
    </row>
    <row r="29" spans="1:8" ht="21" hidden="1" customHeight="1">
      <c r="A29" s="227" t="s">
        <v>231</v>
      </c>
      <c r="B29" s="229">
        <v>831</v>
      </c>
      <c r="C29" s="229"/>
      <c r="D29" s="476">
        <v>0</v>
      </c>
      <c r="E29" s="476">
        <f>SUM(E32)</f>
        <v>0</v>
      </c>
      <c r="F29" s="473"/>
    </row>
    <row r="30" spans="1:8" ht="27.75" hidden="1" customHeight="1">
      <c r="A30" s="229" t="s">
        <v>230</v>
      </c>
      <c r="B30" s="229">
        <v>831</v>
      </c>
      <c r="C30" s="229"/>
      <c r="D30" s="231">
        <v>0</v>
      </c>
      <c r="E30" s="476"/>
      <c r="F30" s="473"/>
    </row>
    <row r="31" spans="1:8" ht="21" hidden="1" customHeight="1">
      <c r="A31" s="227" t="s">
        <v>234</v>
      </c>
      <c r="B31" s="229"/>
      <c r="C31" s="229"/>
      <c r="D31" s="476">
        <v>0</v>
      </c>
      <c r="E31" s="476"/>
      <c r="F31" s="473"/>
    </row>
    <row r="32" spans="1:8" ht="45" hidden="1" customHeight="1">
      <c r="A32" s="229" t="s">
        <v>235</v>
      </c>
      <c r="B32" s="229">
        <v>310</v>
      </c>
      <c r="C32" s="229"/>
      <c r="D32" s="231">
        <v>0</v>
      </c>
      <c r="E32" s="231"/>
      <c r="F32" s="471">
        <f>D32-E32</f>
        <v>0</v>
      </c>
      <c r="G32" s="470"/>
      <c r="H32" s="470"/>
    </row>
    <row r="33" spans="1:8" ht="31.9" hidden="1" customHeight="1">
      <c r="A33" s="477" t="s">
        <v>200</v>
      </c>
      <c r="B33" s="229">
        <v>244</v>
      </c>
      <c r="C33" s="229" t="s">
        <v>216</v>
      </c>
      <c r="D33" s="476">
        <f>SUM(D34)</f>
        <v>0</v>
      </c>
      <c r="E33" s="476">
        <f>SUM(E34)</f>
        <v>0</v>
      </c>
      <c r="F33" s="473"/>
    </row>
    <row r="34" spans="1:8" ht="66.599999999999994" hidden="1" customHeight="1">
      <c r="A34" s="230" t="s">
        <v>201</v>
      </c>
      <c r="B34" s="229">
        <v>244</v>
      </c>
      <c r="C34" s="229" t="s">
        <v>216</v>
      </c>
      <c r="D34" s="231"/>
      <c r="E34" s="231"/>
      <c r="F34" s="471">
        <f>D34-E34</f>
        <v>0</v>
      </c>
      <c r="G34" s="470"/>
      <c r="H34" s="470"/>
    </row>
    <row r="35" spans="1:8" ht="43.5" customHeight="1">
      <c r="A35" s="702" t="s">
        <v>142</v>
      </c>
      <c r="B35" s="703"/>
      <c r="C35" s="703"/>
      <c r="D35" s="704">
        <f>D8+D31</f>
        <v>318007.95</v>
      </c>
      <c r="E35" s="380">
        <f>E8+E29+E33</f>
        <v>72124.75</v>
      </c>
      <c r="F35" s="380">
        <f>F8+F29+F33</f>
        <v>0</v>
      </c>
    </row>
    <row r="37" spans="1:8">
      <c r="A37" s="214"/>
      <c r="B37" s="214"/>
      <c r="C37" s="214"/>
    </row>
    <row r="38" spans="1:8" hidden="1">
      <c r="A38" s="214"/>
      <c r="B38" s="214"/>
      <c r="C38" s="214"/>
    </row>
    <row r="39" spans="1:8" ht="29.45" customHeight="1">
      <c r="A39" s="696" t="s">
        <v>219</v>
      </c>
      <c r="B39" s="474"/>
      <c r="C39" s="572"/>
      <c r="D39" s="376" t="s">
        <v>220</v>
      </c>
    </row>
    <row r="41" spans="1:8">
      <c r="A41" t="s">
        <v>179</v>
      </c>
      <c r="C41" s="573"/>
      <c r="D41" s="376" t="s">
        <v>221</v>
      </c>
    </row>
    <row r="42" spans="1:8">
      <c r="D42" s="377"/>
    </row>
  </sheetData>
  <sheetProtection selectLockedCells="1" selectUnlockedCells="1"/>
  <mergeCells count="1">
    <mergeCell ref="A2:E2"/>
  </mergeCells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0"/>
  <sheetViews>
    <sheetView view="pageBreakPreview" zoomScale="90" zoomScaleNormal="100" zoomScaleSheetLayoutView="90" workbookViewId="0">
      <selection activeCell="AB9" sqref="AB9"/>
    </sheetView>
  </sheetViews>
  <sheetFormatPr defaultRowHeight="18"/>
  <cols>
    <col min="1" max="1" width="40.85546875" style="1" customWidth="1"/>
    <col min="2" max="2" width="13.140625" style="2" customWidth="1"/>
    <col min="3" max="3" width="21" style="270" customWidth="1"/>
    <col min="4" max="9" width="17" style="270" hidden="1" customWidth="1"/>
    <col min="10" max="10" width="17" style="237" hidden="1" customWidth="1"/>
    <col min="11" max="12" width="17" style="270" hidden="1" customWidth="1"/>
    <col min="13" max="13" width="18.5703125" style="270" hidden="1" customWidth="1"/>
    <col min="14" max="14" width="19.5703125" style="270" hidden="1" customWidth="1"/>
    <col min="15" max="15" width="21.7109375" style="270" customWidth="1"/>
    <col min="16" max="16" width="27" style="270" customWidth="1"/>
    <col min="17" max="17" width="15.42578125" style="1" hidden="1" customWidth="1"/>
    <col min="18" max="18" width="15.28515625" style="1" hidden="1" customWidth="1"/>
    <col min="19" max="19" width="18.7109375" style="1" hidden="1" customWidth="1"/>
    <col min="20" max="20" width="19.28515625" style="1" hidden="1" customWidth="1"/>
    <col min="21" max="21" width="16" style="1" hidden="1" customWidth="1"/>
    <col min="22" max="22" width="14.42578125" style="1" hidden="1" customWidth="1"/>
    <col min="23" max="23" width="17.7109375" style="237" hidden="1" customWidth="1"/>
    <col min="24" max="24" width="20.85546875" style="1" hidden="1" customWidth="1"/>
    <col min="25" max="25" width="16.5703125" style="1" hidden="1" customWidth="1"/>
    <col min="26" max="26" width="18.7109375" style="1" hidden="1" customWidth="1"/>
    <col min="27" max="27" width="18.42578125" style="1" hidden="1" customWidth="1"/>
    <col min="28" max="28" width="21.7109375" style="1" customWidth="1"/>
    <col min="29" max="29" width="17.28515625" style="3" customWidth="1"/>
    <col min="30" max="30" width="21.5703125" style="1" customWidth="1"/>
    <col min="31" max="31" width="9.85546875" style="1" customWidth="1"/>
    <col min="32" max="32" width="14" style="1" customWidth="1"/>
    <col min="33" max="33" width="12.28515625" style="1" customWidth="1"/>
    <col min="34" max="34" width="12.5703125" style="1" customWidth="1"/>
    <col min="35" max="35" width="11.7109375" style="1" customWidth="1"/>
    <col min="36" max="36" width="9.140625" style="1"/>
    <col min="37" max="37" width="10.28515625" style="1" customWidth="1"/>
    <col min="38" max="16384" width="9.140625" style="1"/>
  </cols>
  <sheetData>
    <row r="1" spans="1:33">
      <c r="B1" s="3"/>
      <c r="P1" s="271" t="s">
        <v>0</v>
      </c>
      <c r="Q1" s="4"/>
      <c r="R1" s="4"/>
      <c r="S1" s="4"/>
      <c r="T1" s="4"/>
      <c r="U1" s="4"/>
      <c r="V1" s="4"/>
      <c r="W1" s="365"/>
      <c r="X1" s="4"/>
      <c r="Y1" s="4"/>
      <c r="Z1" s="4"/>
      <c r="AA1" s="4"/>
      <c r="AB1" s="4"/>
    </row>
    <row r="2" spans="1:33">
      <c r="A2" s="1" t="s">
        <v>1</v>
      </c>
      <c r="B2" s="717" t="s">
        <v>2</v>
      </c>
      <c r="C2" s="717"/>
      <c r="D2" s="272"/>
      <c r="E2" s="272"/>
      <c r="F2" s="272"/>
      <c r="G2" s="272"/>
      <c r="H2" s="272"/>
      <c r="I2" s="272"/>
      <c r="J2" s="335"/>
      <c r="K2" s="272"/>
      <c r="L2" s="272"/>
      <c r="M2" s="272"/>
      <c r="N2" s="272"/>
      <c r="O2" s="272"/>
      <c r="P2" s="272"/>
      <c r="Q2" s="5"/>
      <c r="R2" s="5"/>
      <c r="S2" s="5"/>
      <c r="T2" s="5"/>
      <c r="U2" s="5"/>
      <c r="V2" s="5"/>
      <c r="W2" s="335"/>
      <c r="X2" s="5"/>
      <c r="Y2" s="5"/>
      <c r="Z2" s="5"/>
      <c r="AA2" s="5"/>
      <c r="AB2" s="5"/>
      <c r="AC2" s="6"/>
    </row>
    <row r="3" spans="1:33">
      <c r="A3" s="1" t="s">
        <v>172</v>
      </c>
      <c r="B3" s="7"/>
      <c r="C3" s="270" t="s">
        <v>3</v>
      </c>
      <c r="P3" s="273"/>
      <c r="Q3" s="8"/>
      <c r="R3" s="8"/>
      <c r="S3" s="8"/>
      <c r="T3" s="8"/>
      <c r="U3" s="8"/>
      <c r="V3" s="8"/>
      <c r="W3" s="361"/>
      <c r="X3" s="8"/>
      <c r="Y3" s="8"/>
      <c r="Z3" s="8"/>
      <c r="AA3" s="8"/>
      <c r="AB3" s="8"/>
      <c r="AC3" s="9"/>
    </row>
    <row r="4" spans="1:33" ht="16.5" customHeight="1"/>
    <row r="5" spans="1:33">
      <c r="A5" s="10" t="s">
        <v>4</v>
      </c>
      <c r="B5" s="256"/>
      <c r="C5" s="274"/>
      <c r="D5" s="274"/>
      <c r="E5" s="274"/>
      <c r="F5" s="274"/>
      <c r="G5" s="274"/>
      <c r="H5" s="274"/>
      <c r="I5" s="274"/>
      <c r="J5" s="336"/>
      <c r="K5" s="274"/>
      <c r="L5" s="274"/>
      <c r="M5" s="274"/>
      <c r="N5" s="274"/>
      <c r="O5" s="274"/>
    </row>
    <row r="6" spans="1:33" ht="26.25" thickBot="1">
      <c r="A6" s="12"/>
      <c r="B6" s="255" t="s">
        <v>121</v>
      </c>
      <c r="C6" s="275" t="s">
        <v>5</v>
      </c>
      <c r="D6" s="275" t="s">
        <v>109</v>
      </c>
      <c r="E6" s="275" t="s">
        <v>110</v>
      </c>
      <c r="F6" s="275" t="s">
        <v>111</v>
      </c>
      <c r="G6" s="275" t="s">
        <v>112</v>
      </c>
      <c r="H6" s="275" t="s">
        <v>113</v>
      </c>
      <c r="I6" s="275" t="s">
        <v>114</v>
      </c>
      <c r="J6" s="337" t="s">
        <v>115</v>
      </c>
      <c r="K6" s="337" t="s">
        <v>116</v>
      </c>
      <c r="L6" s="275" t="s">
        <v>117</v>
      </c>
      <c r="M6" s="275" t="s">
        <v>118</v>
      </c>
      <c r="N6" s="275" t="s">
        <v>119</v>
      </c>
      <c r="O6" s="275" t="s">
        <v>120</v>
      </c>
      <c r="P6" s="275" t="s">
        <v>6</v>
      </c>
      <c r="Q6" s="12" t="s">
        <v>109</v>
      </c>
      <c r="R6" s="12" t="s">
        <v>110</v>
      </c>
      <c r="S6" s="12" t="s">
        <v>111</v>
      </c>
      <c r="T6" s="12" t="s">
        <v>112</v>
      </c>
      <c r="U6" s="12" t="s">
        <v>113</v>
      </c>
      <c r="V6" s="12" t="s">
        <v>114</v>
      </c>
      <c r="W6" s="337" t="s">
        <v>115</v>
      </c>
      <c r="X6" s="337" t="s">
        <v>116</v>
      </c>
      <c r="Y6" s="275" t="s">
        <v>117</v>
      </c>
      <c r="Z6" s="275" t="s">
        <v>118</v>
      </c>
      <c r="AA6" s="275" t="s">
        <v>119</v>
      </c>
      <c r="AB6" s="337" t="s">
        <v>120</v>
      </c>
      <c r="AC6" s="11" t="s">
        <v>171</v>
      </c>
    </row>
    <row r="7" spans="1:33" ht="25.5" customHeight="1" thickBot="1">
      <c r="A7" s="13" t="s">
        <v>7</v>
      </c>
      <c r="B7" s="14"/>
      <c r="C7" s="15"/>
      <c r="D7" s="15"/>
      <c r="E7" s="15"/>
      <c r="F7" s="15"/>
      <c r="G7" s="15"/>
      <c r="H7" s="15"/>
      <c r="I7" s="15"/>
      <c r="J7" s="338"/>
      <c r="K7" s="15"/>
      <c r="L7" s="15"/>
      <c r="M7" s="15"/>
      <c r="N7" s="15"/>
      <c r="O7" s="15"/>
      <c r="P7" s="15"/>
      <c r="Q7" s="135"/>
      <c r="R7" s="135"/>
      <c r="S7" s="135"/>
      <c r="T7" s="135"/>
      <c r="U7" s="135"/>
      <c r="V7" s="135"/>
      <c r="W7" s="366"/>
      <c r="X7" s="135"/>
      <c r="Y7" s="135"/>
      <c r="Z7" s="135"/>
      <c r="AA7" s="135"/>
      <c r="AB7" s="135"/>
      <c r="AC7" s="16"/>
      <c r="AE7" s="722" t="s">
        <v>174</v>
      </c>
      <c r="AF7" s="722"/>
    </row>
    <row r="8" spans="1:33" ht="26.25" customHeight="1">
      <c r="A8" s="17" t="s">
        <v>8</v>
      </c>
      <c r="B8" s="18">
        <f>B15+B26</f>
        <v>0</v>
      </c>
      <c r="C8" s="276">
        <f>SUM(D8:O8)</f>
        <v>12178734.780000001</v>
      </c>
      <c r="D8" s="276">
        <f>191764.25</f>
        <v>191764.25</v>
      </c>
      <c r="E8" s="276">
        <f>435935.75+296016.43</f>
        <v>731952.17999999993</v>
      </c>
      <c r="F8" s="276">
        <f>590183.57+323625.32</f>
        <v>913808.8899999999</v>
      </c>
      <c r="G8" s="276">
        <f>520185.68+241052.24-783.48</f>
        <v>760454.44</v>
      </c>
      <c r="H8" s="276">
        <f>581117.06+203962.08</f>
        <v>785079.14</v>
      </c>
      <c r="I8" s="276">
        <f>867445.03+403042.06+232970</f>
        <v>1503457.09</v>
      </c>
      <c r="J8" s="339">
        <f>664717.13+664897.41</f>
        <v>1329614.54</v>
      </c>
      <c r="K8" s="339">
        <f>520935.32+291546.55</f>
        <v>812481.87</v>
      </c>
      <c r="L8" s="276">
        <f>371589.64+62040.31</f>
        <v>433629.95</v>
      </c>
      <c r="M8" s="339">
        <f>1279847.39+109909.61</f>
        <v>1389757</v>
      </c>
      <c r="N8" s="400">
        <f>1162290.39+174484.19</f>
        <v>1336774.5799999998</v>
      </c>
      <c r="O8" s="276">
        <f>957615.81+469905.13+550935.47+11504.44</f>
        <v>1989960.8499999999</v>
      </c>
      <c r="P8" s="276">
        <f>SUM(Q8:AB8)</f>
        <v>12022780.32</v>
      </c>
      <c r="Q8" s="19">
        <f>128986.36+9572+20207.4</f>
        <v>158765.75999999998</v>
      </c>
      <c r="R8" s="19">
        <f>357222.07+54810+4412.39+1917.45+291+3191.03+8180.79+4356.37+253571.37+29120+2930.34</f>
        <v>720002.80999999994</v>
      </c>
      <c r="S8" s="19">
        <f>34806.52+484200.86+71878+6597.74+5291.58+26344.49+18250.53+2727+198264.38+22339+311+2078.78+5018.64+680.31</f>
        <v>878788.83000000007</v>
      </c>
      <c r="T8" s="19">
        <f>14431.9+34679.96+491693.76+5141.01+7509.47+74139.69+184594.24+24458+2777.8+6005.63+649</f>
        <v>846080.46000000008</v>
      </c>
      <c r="U8" s="19">
        <f>8589.8+70639+471275.54+1339.5+4719.25+6345.13+1463.45+9726.87+1035+165479.5+937+7779.96+1283</f>
        <v>750612.99999999988</v>
      </c>
      <c r="V8" s="19">
        <f>1928+14307.52+15998.7+2391+11931.04+6721.75+2085+710607.33+124993+5767+42789.83+1020+6828+7795.42+780+1930.04+186499.06+1820.96+20636.53+2630+69625.16+9985+35597+245233.2</f>
        <v>1529900.5399999998</v>
      </c>
      <c r="W8" s="19">
        <f>7836.64+5759.64+97826+7672.74+2221.6+5633+499792+37699.03+36514.62+6911+4285+31472.96+164720.24+9660+66058.86+42745+334006.55-28835.75</f>
        <v>1331979.1299999999</v>
      </c>
      <c r="X8" s="19">
        <f>66417.79+78825+397098.3+8174+4164.46+7230.15+3159+25139.29+334+2235.76+28835.75+62902.49+137+776+1601.29+500</f>
        <v>687530.28</v>
      </c>
      <c r="Y8" s="281">
        <f>1365.73+761.74+34526+154965.94+15597.12+30097.54+4240+2121+209847.49+10203.72+688+361+2417.6</f>
        <v>467192.87999999995</v>
      </c>
      <c r="Z8" s="19">
        <f>821753.33+131156+6816+45618.76+1945.06+655+7398.19+3821.43+16156.58+2414+202505.15+5182.14+355+2680.49+265</f>
        <v>1248722.1299999999</v>
      </c>
      <c r="AA8" s="19">
        <f>2568.04+7755+1.02+5.82+7422.95+141580+54706.04+815539.93+10307.32+1122+2439+16322.26+199964.22+1940+10694.11</f>
        <v>1272367.71</v>
      </c>
      <c r="AB8" s="281">
        <f>2657+17777.58+142637+825487.95+7837.84+2398.08+2155+14424.78+2718.34+230906.49+5726.1+864760.4+7667.77+1383.08+2299.38</f>
        <v>2130836.79</v>
      </c>
      <c r="AC8" s="281">
        <f>B8+C8-P8</f>
        <v>155954.46000000089</v>
      </c>
      <c r="AD8" s="20"/>
      <c r="AE8" s="722"/>
      <c r="AF8" s="722"/>
    </row>
    <row r="9" spans="1:33" ht="25.5">
      <c r="A9" s="21" t="s">
        <v>9</v>
      </c>
      <c r="B9" s="22"/>
      <c r="C9" s="277">
        <v>1674661</v>
      </c>
      <c r="D9" s="278"/>
      <c r="E9" s="278"/>
      <c r="F9" s="278">
        <v>250986</v>
      </c>
      <c r="G9" s="278"/>
      <c r="H9" s="278"/>
      <c r="I9" s="278"/>
      <c r="J9" s="23"/>
      <c r="K9" s="278"/>
      <c r="L9" s="278"/>
      <c r="M9" s="278"/>
      <c r="N9" s="278"/>
      <c r="O9" s="278"/>
      <c r="P9" s="277">
        <v>1674661</v>
      </c>
      <c r="Q9" s="23"/>
      <c r="R9" s="23"/>
      <c r="S9" s="23">
        <v>250986</v>
      </c>
      <c r="T9" s="23"/>
      <c r="U9" s="23"/>
      <c r="V9" s="23"/>
      <c r="W9" s="23"/>
      <c r="X9" s="23"/>
      <c r="Y9" s="278"/>
      <c r="Z9" s="23"/>
      <c r="AA9" s="23"/>
      <c r="AB9" s="23"/>
      <c r="AC9" s="282"/>
      <c r="AD9" s="25"/>
      <c r="AE9" s="257">
        <v>211</v>
      </c>
      <c r="AF9" s="258">
        <v>11504.44</v>
      </c>
      <c r="AG9" s="20"/>
    </row>
    <row r="10" spans="1:33" ht="23.25" customHeight="1">
      <c r="A10" s="27" t="s">
        <v>10</v>
      </c>
      <c r="B10" s="142">
        <f>B19+B27</f>
        <v>0</v>
      </c>
      <c r="C10" s="279">
        <f>SUM(D10:O10)</f>
        <v>5745.17</v>
      </c>
      <c r="D10" s="280"/>
      <c r="E10" s="281">
        <f>200+237.1</f>
        <v>437.1</v>
      </c>
      <c r="F10" s="281">
        <v>500</v>
      </c>
      <c r="G10" s="281">
        <v>450</v>
      </c>
      <c r="H10" s="281">
        <v>500</v>
      </c>
      <c r="I10" s="281">
        <v>550</v>
      </c>
      <c r="J10" s="19">
        <v>500</v>
      </c>
      <c r="K10" s="19">
        <v>500</v>
      </c>
      <c r="L10" s="281">
        <v>500</v>
      </c>
      <c r="M10" s="281">
        <v>500</v>
      </c>
      <c r="N10" s="281">
        <v>500</v>
      </c>
      <c r="O10" s="281">
        <f>500+562.9-254.83</f>
        <v>808.07</v>
      </c>
      <c r="P10" s="279">
        <f>SUM(Q10:AB10)</f>
        <v>5745.17</v>
      </c>
      <c r="Q10" s="19"/>
      <c r="R10" s="19">
        <v>437.1</v>
      </c>
      <c r="S10" s="19">
        <v>450</v>
      </c>
      <c r="T10" s="19">
        <v>466.13</v>
      </c>
      <c r="U10" s="19">
        <v>500</v>
      </c>
      <c r="V10" s="19">
        <v>538.71</v>
      </c>
      <c r="W10" s="19">
        <v>500</v>
      </c>
      <c r="X10" s="19">
        <v>500</v>
      </c>
      <c r="Y10" s="281">
        <v>500</v>
      </c>
      <c r="Z10" s="281">
        <v>500</v>
      </c>
      <c r="AA10" s="281">
        <f>453.23</f>
        <v>453.23</v>
      </c>
      <c r="AB10" s="19">
        <f>450+450</f>
        <v>900</v>
      </c>
      <c r="AC10" s="281">
        <f>B10+C10-P10</f>
        <v>0</v>
      </c>
      <c r="AD10" s="20"/>
      <c r="AE10" s="220">
        <v>212</v>
      </c>
      <c r="AF10" s="220">
        <v>-254.83</v>
      </c>
    </row>
    <row r="11" spans="1:33" ht="32.25" customHeight="1">
      <c r="A11" s="29" t="s">
        <v>11</v>
      </c>
      <c r="B11" s="30">
        <f>B20+B28</f>
        <v>0</v>
      </c>
      <c r="C11" s="281">
        <f>SUM(D11:O11)</f>
        <v>3660650.39</v>
      </c>
      <c r="D11" s="282"/>
      <c r="E11" s="282">
        <f>189565.4-1516.5</f>
        <v>188048.9</v>
      </c>
      <c r="F11" s="282">
        <v>245993.44</v>
      </c>
      <c r="G11" s="282">
        <f>255593+783.48</f>
        <v>256376.48</v>
      </c>
      <c r="H11" s="282">
        <v>250464.91</v>
      </c>
      <c r="I11" s="282">
        <f>342543.73</f>
        <v>342543.73</v>
      </c>
      <c r="J11" s="24">
        <v>379784.1</v>
      </c>
      <c r="K11" s="24">
        <v>379784.1</v>
      </c>
      <c r="L11" s="282">
        <v>95966.25</v>
      </c>
      <c r="M11" s="282">
        <v>386513.91</v>
      </c>
      <c r="N11" s="282">
        <v>364100</v>
      </c>
      <c r="O11" s="282">
        <f>323652.42+458671.76-11249.61</f>
        <v>771074.57</v>
      </c>
      <c r="P11" s="281">
        <f>SUM(Q11:AB11)</f>
        <v>3267723.8800000004</v>
      </c>
      <c r="Q11" s="19"/>
      <c r="R11" s="19">
        <v>173393.88</v>
      </c>
      <c r="S11" s="24">
        <f>25012.27+43987.11+1724.98+189748.29</f>
        <v>260472.65000000002</v>
      </c>
      <c r="T11" s="19">
        <v>256552.29</v>
      </c>
      <c r="U11" s="19">
        <v>246586.02</v>
      </c>
      <c r="V11" s="19">
        <v>323160.18</v>
      </c>
      <c r="W11" s="19">
        <f>2595.56+285511.77+66186.82+37635.64</f>
        <v>391929.79000000004</v>
      </c>
      <c r="X11" s="19">
        <v>369945.64</v>
      </c>
      <c r="Y11" s="281">
        <v>105740.38</v>
      </c>
      <c r="Z11" s="19">
        <v>376663.95</v>
      </c>
      <c r="AA11" s="281">
        <v>377015.19</v>
      </c>
      <c r="AB11" s="281">
        <v>386263.91</v>
      </c>
      <c r="AC11" s="281">
        <f>B11+C11-P11</f>
        <v>392926.50999999978</v>
      </c>
      <c r="AD11" s="20"/>
      <c r="AE11" s="220">
        <v>213</v>
      </c>
      <c r="AF11" s="220">
        <v>-11249.61</v>
      </c>
    </row>
    <row r="12" spans="1:33" ht="27.75" customHeight="1">
      <c r="A12" s="31" t="s">
        <v>9</v>
      </c>
      <c r="B12" s="32"/>
      <c r="C12" s="277">
        <f>C9*30.2%</f>
        <v>505747.62199999997</v>
      </c>
      <c r="D12" s="277"/>
      <c r="E12" s="277"/>
      <c r="F12" s="277"/>
      <c r="G12" s="277"/>
      <c r="H12" s="277"/>
      <c r="I12" s="277"/>
      <c r="J12" s="33"/>
      <c r="K12" s="277"/>
      <c r="L12" s="277"/>
      <c r="M12" s="277"/>
      <c r="N12" s="277"/>
      <c r="O12" s="277"/>
      <c r="P12" s="277">
        <f>P9*30.2%</f>
        <v>505747.62199999997</v>
      </c>
      <c r="Q12" s="33"/>
      <c r="R12" s="33"/>
      <c r="S12" s="33"/>
      <c r="T12" s="33"/>
      <c r="U12" s="33"/>
      <c r="V12" s="33"/>
      <c r="W12" s="33"/>
      <c r="X12" s="33"/>
      <c r="Y12" s="277"/>
      <c r="Z12" s="33"/>
      <c r="AA12" s="33"/>
      <c r="AB12" s="33"/>
      <c r="AC12" s="282">
        <f>B12+C12-P12</f>
        <v>0</v>
      </c>
    </row>
    <row r="13" spans="1:33" s="35" customFormat="1" ht="19.5" thickBot="1">
      <c r="A13" s="215" t="s">
        <v>12</v>
      </c>
      <c r="B13" s="216">
        <f>B8+B10+B11</f>
        <v>0</v>
      </c>
      <c r="C13" s="283">
        <f>C8+C10+C11</f>
        <v>15845130.340000002</v>
      </c>
      <c r="D13" s="283">
        <f t="shared" ref="D13:AB13" si="0">D8+D10+D11</f>
        <v>191764.25</v>
      </c>
      <c r="E13" s="283">
        <f t="shared" si="0"/>
        <v>920438.17999999993</v>
      </c>
      <c r="F13" s="283">
        <f t="shared" si="0"/>
        <v>1160302.3299999998</v>
      </c>
      <c r="G13" s="283">
        <f t="shared" si="0"/>
        <v>1017280.9199999999</v>
      </c>
      <c r="H13" s="283">
        <f t="shared" si="0"/>
        <v>1036044.05</v>
      </c>
      <c r="I13" s="283">
        <f t="shared" si="0"/>
        <v>1846550.82</v>
      </c>
      <c r="J13" s="217">
        <f t="shared" si="0"/>
        <v>1709898.6400000001</v>
      </c>
      <c r="K13" s="283">
        <f t="shared" si="0"/>
        <v>1192765.97</v>
      </c>
      <c r="L13" s="283">
        <f t="shared" si="0"/>
        <v>530096.19999999995</v>
      </c>
      <c r="M13" s="283">
        <f t="shared" si="0"/>
        <v>1776770.91</v>
      </c>
      <c r="N13" s="283">
        <f t="shared" si="0"/>
        <v>1701374.5799999998</v>
      </c>
      <c r="O13" s="283">
        <f t="shared" si="0"/>
        <v>2761843.4899999998</v>
      </c>
      <c r="P13" s="283">
        <f>P8+P10+P11</f>
        <v>15296249.370000001</v>
      </c>
      <c r="Q13" s="217">
        <f t="shared" si="0"/>
        <v>158765.75999999998</v>
      </c>
      <c r="R13" s="217">
        <f t="shared" si="0"/>
        <v>893833.78999999992</v>
      </c>
      <c r="S13" s="217">
        <f>S8+S10+S11</f>
        <v>1139711.48</v>
      </c>
      <c r="T13" s="217">
        <f t="shared" si="0"/>
        <v>1103098.8800000001</v>
      </c>
      <c r="U13" s="217">
        <f t="shared" si="0"/>
        <v>997699.0199999999</v>
      </c>
      <c r="V13" s="217">
        <f t="shared" si="0"/>
        <v>1853599.4299999997</v>
      </c>
      <c r="W13" s="217">
        <f t="shared" si="0"/>
        <v>1724408.92</v>
      </c>
      <c r="X13" s="217">
        <f t="shared" si="0"/>
        <v>1057975.92</v>
      </c>
      <c r="Y13" s="283">
        <f t="shared" si="0"/>
        <v>573433.26</v>
      </c>
      <c r="Z13" s="283">
        <f t="shared" si="0"/>
        <v>1625886.0799999998</v>
      </c>
      <c r="AA13" s="283">
        <f t="shared" si="0"/>
        <v>1649836.13</v>
      </c>
      <c r="AB13" s="283">
        <f t="shared" si="0"/>
        <v>2518000.7000000002</v>
      </c>
      <c r="AC13" s="283">
        <f>AC8+AC10+AC11</f>
        <v>548880.97000000067</v>
      </c>
      <c r="AD13" s="34"/>
    </row>
    <row r="14" spans="1:33" s="35" customFormat="1" ht="18.75" thickBot="1">
      <c r="A14" s="36" t="s">
        <v>13</v>
      </c>
      <c r="B14" s="37"/>
      <c r="C14" s="284"/>
      <c r="D14" s="284"/>
      <c r="E14" s="284"/>
      <c r="F14" s="284"/>
      <c r="G14" s="284"/>
      <c r="H14" s="284"/>
      <c r="I14" s="284"/>
      <c r="J14" s="340"/>
      <c r="K14" s="284"/>
      <c r="L14" s="284"/>
      <c r="M14" s="284"/>
      <c r="N14" s="284"/>
      <c r="O14" s="284"/>
      <c r="P14" s="284"/>
      <c r="Q14" s="38"/>
      <c r="R14" s="38"/>
      <c r="S14" s="38"/>
      <c r="T14" s="38"/>
      <c r="U14" s="38"/>
      <c r="V14" s="38"/>
      <c r="W14" s="340"/>
      <c r="X14" s="38"/>
      <c r="Y14" s="38"/>
      <c r="Z14" s="38"/>
      <c r="AA14" s="38"/>
      <c r="AB14" s="38"/>
      <c r="AC14" s="39"/>
    </row>
    <row r="15" spans="1:33" ht="18.75">
      <c r="A15" s="40" t="s">
        <v>14</v>
      </c>
      <c r="B15" s="41">
        <v>0</v>
      </c>
      <c r="C15" s="281">
        <f>SUM(C16:C17)</f>
        <v>7736311.0100000007</v>
      </c>
      <c r="D15" s="281">
        <f t="shared" ref="D15:O15" si="1">SUM(D16:D17)</f>
        <v>0</v>
      </c>
      <c r="E15" s="281">
        <f t="shared" si="1"/>
        <v>0</v>
      </c>
      <c r="F15" s="281">
        <f t="shared" si="1"/>
        <v>0</v>
      </c>
      <c r="G15" s="281">
        <f t="shared" si="1"/>
        <v>0</v>
      </c>
      <c r="H15" s="281">
        <f t="shared" si="1"/>
        <v>0</v>
      </c>
      <c r="I15" s="281">
        <f t="shared" si="1"/>
        <v>0</v>
      </c>
      <c r="J15" s="19">
        <f t="shared" si="1"/>
        <v>0</v>
      </c>
      <c r="K15" s="281">
        <f t="shared" si="1"/>
        <v>0</v>
      </c>
      <c r="L15" s="281">
        <f t="shared" si="1"/>
        <v>0</v>
      </c>
      <c r="M15" s="281">
        <f>SUM(M16:M17)</f>
        <v>0</v>
      </c>
      <c r="N15" s="281">
        <f t="shared" si="1"/>
        <v>0</v>
      </c>
      <c r="O15" s="281">
        <f t="shared" si="1"/>
        <v>0</v>
      </c>
      <c r="P15" s="281">
        <f>SUM(P16:P17)</f>
        <v>7439480.6100000003</v>
      </c>
      <c r="Q15" s="19">
        <f>SUM(Q16:Q18)</f>
        <v>0</v>
      </c>
      <c r="R15" s="19">
        <f>SUM(R16:R18)</f>
        <v>0</v>
      </c>
      <c r="S15" s="19">
        <f>SUM(S16:S18)</f>
        <v>250986</v>
      </c>
      <c r="T15" s="19">
        <f>SUM(T16:T18)</f>
        <v>0</v>
      </c>
      <c r="U15" s="19">
        <f>SUM(U16:U18)</f>
        <v>0</v>
      </c>
      <c r="V15" s="19"/>
      <c r="W15" s="19">
        <v>0</v>
      </c>
      <c r="X15" s="19"/>
      <c r="Y15" s="281">
        <f>SUM(Y16:Y18)</f>
        <v>0</v>
      </c>
      <c r="Z15" s="19"/>
      <c r="AA15" s="19"/>
      <c r="AB15" s="19"/>
      <c r="AC15" s="281">
        <f t="shared" ref="AC15:AC24" si="2">B15+C15-P15</f>
        <v>296830.40000000037</v>
      </c>
      <c r="AD15" s="20"/>
      <c r="AE15" s="20"/>
      <c r="AF15" s="20"/>
    </row>
    <row r="16" spans="1:33" ht="18.75">
      <c r="A16" s="21" t="s">
        <v>15</v>
      </c>
      <c r="B16" s="22"/>
      <c r="C16" s="278">
        <f>1882140.88+37117.45</f>
        <v>1919258.3299999998</v>
      </c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>
        <v>1919258.33</v>
      </c>
      <c r="Q16" s="260"/>
      <c r="R16" s="260"/>
      <c r="S16" s="260"/>
      <c r="T16" s="260"/>
      <c r="U16" s="260"/>
      <c r="V16" s="23"/>
      <c r="W16" s="23"/>
      <c r="X16" s="23"/>
      <c r="Y16" s="286"/>
      <c r="Z16" s="262"/>
      <c r="AA16" s="23"/>
      <c r="AB16" s="23"/>
      <c r="AC16" s="282">
        <f t="shared" si="2"/>
        <v>0</v>
      </c>
      <c r="AD16" s="25"/>
      <c r="AE16" s="25"/>
      <c r="AF16" s="25"/>
      <c r="AG16" s="20"/>
    </row>
    <row r="17" spans="1:33" ht="25.5" customHeight="1">
      <c r="A17" s="21" t="s">
        <v>16</v>
      </c>
      <c r="B17" s="22"/>
      <c r="C17" s="285">
        <f>5341044.96+179177.32+296830.4</f>
        <v>5817052.6800000006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>
        <v>5520222.2800000003</v>
      </c>
      <c r="Q17" s="261"/>
      <c r="R17" s="261"/>
      <c r="S17" s="261"/>
      <c r="T17" s="261"/>
      <c r="U17" s="261"/>
      <c r="V17" s="261"/>
      <c r="W17" s="261"/>
      <c r="X17" s="261"/>
      <c r="Y17" s="285"/>
      <c r="Z17" s="261"/>
      <c r="AA17" s="261"/>
      <c r="AB17" s="261"/>
      <c r="AC17" s="282">
        <f t="shared" si="2"/>
        <v>296830.40000000037</v>
      </c>
      <c r="AD17" s="25"/>
      <c r="AE17" s="25"/>
      <c r="AF17" s="25"/>
      <c r="AG17" s="20"/>
    </row>
    <row r="18" spans="1:33" ht="25.5">
      <c r="A18" s="21" t="s">
        <v>9</v>
      </c>
      <c r="B18" s="22"/>
      <c r="C18" s="286">
        <v>2904141</v>
      </c>
      <c r="D18" s="286"/>
      <c r="E18" s="286"/>
      <c r="F18" s="286"/>
      <c r="G18" s="286"/>
      <c r="H18" s="286"/>
      <c r="I18" s="286"/>
      <c r="J18" s="262"/>
      <c r="K18" s="286"/>
      <c r="L18" s="286"/>
      <c r="M18" s="286"/>
      <c r="N18" s="286"/>
      <c r="O18" s="286"/>
      <c r="P18" s="286">
        <v>2904141</v>
      </c>
      <c r="Q18" s="262">
        <f>Q9</f>
        <v>0</v>
      </c>
      <c r="R18" s="262">
        <f>R9</f>
        <v>0</v>
      </c>
      <c r="S18" s="262">
        <f>S9</f>
        <v>250986</v>
      </c>
      <c r="T18" s="262">
        <f>T9</f>
        <v>0</v>
      </c>
      <c r="U18" s="262">
        <f>U9</f>
        <v>0</v>
      </c>
      <c r="V18" s="262"/>
      <c r="W18" s="23"/>
      <c r="X18" s="262"/>
      <c r="Y18" s="286"/>
      <c r="Z18" s="262"/>
      <c r="AA18" s="23"/>
      <c r="AB18" s="262"/>
      <c r="AC18" s="282">
        <f t="shared" si="2"/>
        <v>0</v>
      </c>
      <c r="AD18" s="25"/>
      <c r="AE18" s="25"/>
      <c r="AF18" s="26"/>
      <c r="AG18" s="20"/>
    </row>
    <row r="19" spans="1:33" ht="18.75">
      <c r="A19" s="42" t="s">
        <v>17</v>
      </c>
      <c r="B19" s="43">
        <v>0</v>
      </c>
      <c r="C19" s="287">
        <f>C10</f>
        <v>5745.17</v>
      </c>
      <c r="D19" s="287">
        <f t="shared" ref="D19:P19" si="3">D10</f>
        <v>0</v>
      </c>
      <c r="E19" s="287">
        <f>E10</f>
        <v>437.1</v>
      </c>
      <c r="F19" s="287">
        <f t="shared" si="3"/>
        <v>500</v>
      </c>
      <c r="G19" s="287">
        <f t="shared" si="3"/>
        <v>450</v>
      </c>
      <c r="H19" s="287">
        <f t="shared" si="3"/>
        <v>500</v>
      </c>
      <c r="I19" s="287">
        <f t="shared" si="3"/>
        <v>550</v>
      </c>
      <c r="J19" s="341">
        <f t="shared" si="3"/>
        <v>500</v>
      </c>
      <c r="K19" s="287">
        <f t="shared" si="3"/>
        <v>500</v>
      </c>
      <c r="L19" s="287">
        <f t="shared" si="3"/>
        <v>500</v>
      </c>
      <c r="M19" s="287">
        <f t="shared" si="3"/>
        <v>500</v>
      </c>
      <c r="N19" s="287">
        <f t="shared" si="3"/>
        <v>500</v>
      </c>
      <c r="O19" s="287">
        <f t="shared" si="3"/>
        <v>808.07</v>
      </c>
      <c r="P19" s="287">
        <f t="shared" si="3"/>
        <v>5745.17</v>
      </c>
      <c r="Q19" s="263"/>
      <c r="R19" s="263"/>
      <c r="S19" s="263"/>
      <c r="T19" s="263"/>
      <c r="U19" s="263"/>
      <c r="V19" s="263"/>
      <c r="W19" s="24"/>
      <c r="X19" s="263">
        <v>500</v>
      </c>
      <c r="Y19" s="288">
        <v>500</v>
      </c>
      <c r="Z19" s="288">
        <v>500</v>
      </c>
      <c r="AA19" s="282">
        <v>453.23</v>
      </c>
      <c r="AB19" s="263"/>
      <c r="AC19" s="282">
        <f t="shared" si="2"/>
        <v>0</v>
      </c>
      <c r="AD19" s="25"/>
      <c r="AE19" s="26"/>
      <c r="AF19" s="26"/>
    </row>
    <row r="20" spans="1:33" ht="18.75">
      <c r="A20" s="42" t="s">
        <v>18</v>
      </c>
      <c r="B20" s="43">
        <v>0</v>
      </c>
      <c r="C20" s="288">
        <f>SUM(C22:C23)</f>
        <v>2240986.8590200003</v>
      </c>
      <c r="D20" s="288">
        <f t="shared" ref="D20:O20" si="4">SUM(D22:D23)</f>
        <v>0</v>
      </c>
      <c r="E20" s="288">
        <f t="shared" si="4"/>
        <v>0</v>
      </c>
      <c r="F20" s="288">
        <f t="shared" si="4"/>
        <v>0</v>
      </c>
      <c r="G20" s="288">
        <f t="shared" si="4"/>
        <v>0</v>
      </c>
      <c r="H20" s="288">
        <f t="shared" si="4"/>
        <v>0</v>
      </c>
      <c r="I20" s="288">
        <f t="shared" si="4"/>
        <v>0</v>
      </c>
      <c r="J20" s="263">
        <f t="shared" si="4"/>
        <v>0</v>
      </c>
      <c r="K20" s="288">
        <f t="shared" si="4"/>
        <v>0</v>
      </c>
      <c r="L20" s="288">
        <f t="shared" si="4"/>
        <v>0</v>
      </c>
      <c r="M20" s="288">
        <f>SUM(M22:M23)</f>
        <v>0</v>
      </c>
      <c r="N20" s="288">
        <f t="shared" si="4"/>
        <v>0</v>
      </c>
      <c r="O20" s="288">
        <f t="shared" si="4"/>
        <v>0</v>
      </c>
      <c r="P20" s="288">
        <f>SUM(P22:P23)</f>
        <v>2232871.0082200002</v>
      </c>
      <c r="Q20" s="263"/>
      <c r="R20" s="263"/>
      <c r="S20" s="263"/>
      <c r="T20" s="263"/>
      <c r="U20" s="263"/>
      <c r="V20" s="263"/>
      <c r="W20" s="263"/>
      <c r="X20" s="263"/>
      <c r="Y20" s="288"/>
      <c r="Z20" s="263"/>
      <c r="AA20" s="24"/>
      <c r="AB20" s="263"/>
      <c r="AC20" s="282">
        <f t="shared" si="2"/>
        <v>8115.8508000001311</v>
      </c>
      <c r="AD20" s="25"/>
      <c r="AE20" s="25"/>
      <c r="AF20" s="25"/>
    </row>
    <row r="21" spans="1:33" ht="18.75" hidden="1">
      <c r="A21" s="44" t="s">
        <v>19</v>
      </c>
      <c r="B21" s="45">
        <v>0</v>
      </c>
      <c r="C21" s="289"/>
      <c r="D21" s="289">
        <f t="shared" ref="D21:S24" si="5">D15*30.2%</f>
        <v>0</v>
      </c>
      <c r="E21" s="289">
        <f t="shared" si="5"/>
        <v>0</v>
      </c>
      <c r="F21" s="289">
        <f t="shared" si="5"/>
        <v>0</v>
      </c>
      <c r="G21" s="289">
        <f t="shared" si="5"/>
        <v>0</v>
      </c>
      <c r="H21" s="289">
        <f t="shared" si="5"/>
        <v>0</v>
      </c>
      <c r="I21" s="289">
        <f t="shared" si="5"/>
        <v>0</v>
      </c>
      <c r="J21" s="264">
        <f t="shared" si="5"/>
        <v>0</v>
      </c>
      <c r="K21" s="289">
        <f t="shared" si="5"/>
        <v>0</v>
      </c>
      <c r="L21" s="289">
        <f t="shared" si="5"/>
        <v>0</v>
      </c>
      <c r="M21" s="289">
        <f t="shared" si="5"/>
        <v>0</v>
      </c>
      <c r="N21" s="289">
        <f t="shared" si="5"/>
        <v>0</v>
      </c>
      <c r="O21" s="289">
        <f t="shared" si="5"/>
        <v>0</v>
      </c>
      <c r="P21" s="289"/>
      <c r="Q21" s="265"/>
      <c r="R21" s="265"/>
      <c r="S21" s="265"/>
      <c r="T21" s="265"/>
      <c r="U21" s="265"/>
      <c r="V21" s="265"/>
      <c r="W21" s="265"/>
      <c r="X21" s="265"/>
      <c r="Y21" s="389"/>
      <c r="Z21" s="265"/>
      <c r="AA21" s="46"/>
      <c r="AB21" s="265"/>
      <c r="AC21" s="282">
        <f t="shared" si="2"/>
        <v>0</v>
      </c>
      <c r="AD21" s="26"/>
      <c r="AE21" s="26"/>
      <c r="AF21" s="26"/>
    </row>
    <row r="22" spans="1:33" ht="18.75">
      <c r="A22" s="21" t="s">
        <v>20</v>
      </c>
      <c r="B22" s="22"/>
      <c r="C22" s="289">
        <f>(C16-22934)*30.2%</f>
        <v>572689.94765999995</v>
      </c>
      <c r="D22" s="289">
        <f t="shared" si="5"/>
        <v>0</v>
      </c>
      <c r="E22" s="289">
        <f t="shared" si="5"/>
        <v>0</v>
      </c>
      <c r="F22" s="289">
        <f t="shared" si="5"/>
        <v>0</v>
      </c>
      <c r="G22" s="289">
        <f t="shared" si="5"/>
        <v>0</v>
      </c>
      <c r="H22" s="289">
        <f t="shared" si="5"/>
        <v>0</v>
      </c>
      <c r="I22" s="289">
        <f t="shared" si="5"/>
        <v>0</v>
      </c>
      <c r="J22" s="264">
        <f t="shared" si="5"/>
        <v>0</v>
      </c>
      <c r="K22" s="289">
        <f t="shared" si="5"/>
        <v>0</v>
      </c>
      <c r="L22" s="289">
        <f t="shared" si="5"/>
        <v>0</v>
      </c>
      <c r="M22" s="289">
        <f t="shared" si="5"/>
        <v>0</v>
      </c>
      <c r="N22" s="289">
        <f t="shared" si="5"/>
        <v>0</v>
      </c>
      <c r="O22" s="289">
        <f t="shared" si="5"/>
        <v>0</v>
      </c>
      <c r="P22" s="289">
        <f>(P16-22934)*30.2%</f>
        <v>572689.94765999995</v>
      </c>
      <c r="Q22" s="264"/>
      <c r="R22" s="264"/>
      <c r="S22" s="264"/>
      <c r="T22" s="264"/>
      <c r="U22" s="264"/>
      <c r="V22" s="264"/>
      <c r="W22" s="264"/>
      <c r="X22" s="264"/>
      <c r="Y22" s="289"/>
      <c r="Z22" s="264"/>
      <c r="AA22" s="264"/>
      <c r="AB22" s="264"/>
      <c r="AC22" s="282">
        <f t="shared" si="2"/>
        <v>0</v>
      </c>
      <c r="AD22" s="266"/>
      <c r="AE22" s="25"/>
      <c r="AF22" s="25"/>
    </row>
    <row r="23" spans="1:33" ht="18.75">
      <c r="A23" s="21" t="s">
        <v>21</v>
      </c>
      <c r="B23" s="22"/>
      <c r="C23" s="289">
        <f>(C17-22934)*30.2%-81526.93</f>
        <v>1668296.9113600003</v>
      </c>
      <c r="D23" s="289">
        <f t="shared" si="5"/>
        <v>0</v>
      </c>
      <c r="E23" s="289">
        <f t="shared" si="5"/>
        <v>0</v>
      </c>
      <c r="F23" s="289">
        <f t="shared" si="5"/>
        <v>0</v>
      </c>
      <c r="G23" s="289">
        <f t="shared" si="5"/>
        <v>0</v>
      </c>
      <c r="H23" s="289">
        <f t="shared" si="5"/>
        <v>0</v>
      </c>
      <c r="I23" s="289">
        <f t="shared" si="5"/>
        <v>0</v>
      </c>
      <c r="J23" s="264">
        <f t="shared" si="5"/>
        <v>0</v>
      </c>
      <c r="K23" s="289">
        <f t="shared" si="5"/>
        <v>0</v>
      </c>
      <c r="L23" s="289">
        <f t="shared" si="5"/>
        <v>0</v>
      </c>
      <c r="M23" s="289">
        <f t="shared" si="5"/>
        <v>0</v>
      </c>
      <c r="N23" s="289">
        <f t="shared" si="5"/>
        <v>0</v>
      </c>
      <c r="O23" s="289">
        <f t="shared" si="5"/>
        <v>0</v>
      </c>
      <c r="P23" s="289">
        <f>(P17-22934)*30.2%</f>
        <v>1660181.0605600001</v>
      </c>
      <c r="Q23" s="264"/>
      <c r="R23" s="264"/>
      <c r="S23" s="264"/>
      <c r="T23" s="264"/>
      <c r="U23" s="264"/>
      <c r="V23" s="264"/>
      <c r="W23" s="264"/>
      <c r="X23" s="264"/>
      <c r="Y23" s="289"/>
      <c r="Z23" s="264"/>
      <c r="AA23" s="264"/>
      <c r="AB23" s="264"/>
      <c r="AC23" s="282">
        <f t="shared" si="2"/>
        <v>8115.8508000001311</v>
      </c>
      <c r="AD23" s="25"/>
      <c r="AE23" s="25"/>
      <c r="AF23" s="25"/>
    </row>
    <row r="24" spans="1:33" ht="27" customHeight="1" thickBot="1">
      <c r="A24" s="31" t="s">
        <v>9</v>
      </c>
      <c r="B24" s="32"/>
      <c r="C24" s="290">
        <f>C18*30.2%</f>
        <v>877050.58199999994</v>
      </c>
      <c r="D24" s="290">
        <f t="shared" si="5"/>
        <v>0</v>
      </c>
      <c r="E24" s="290">
        <f t="shared" si="5"/>
        <v>0</v>
      </c>
      <c r="F24" s="290">
        <f t="shared" si="5"/>
        <v>0</v>
      </c>
      <c r="G24" s="290">
        <f t="shared" si="5"/>
        <v>0</v>
      </c>
      <c r="H24" s="290">
        <f t="shared" si="5"/>
        <v>0</v>
      </c>
      <c r="I24" s="290">
        <f t="shared" si="5"/>
        <v>0</v>
      </c>
      <c r="J24" s="267">
        <f t="shared" si="5"/>
        <v>0</v>
      </c>
      <c r="K24" s="290">
        <f t="shared" si="5"/>
        <v>0</v>
      </c>
      <c r="L24" s="290">
        <f t="shared" si="5"/>
        <v>0</v>
      </c>
      <c r="M24" s="290">
        <f t="shared" si="5"/>
        <v>0</v>
      </c>
      <c r="N24" s="290">
        <f t="shared" si="5"/>
        <v>0</v>
      </c>
      <c r="O24" s="290">
        <f t="shared" si="5"/>
        <v>0</v>
      </c>
      <c r="P24" s="290">
        <f>P18*30.2%</f>
        <v>877050.58199999994</v>
      </c>
      <c r="Q24" s="267">
        <f t="shared" si="5"/>
        <v>0</v>
      </c>
      <c r="R24" s="267">
        <f t="shared" si="5"/>
        <v>0</v>
      </c>
      <c r="S24" s="267">
        <f t="shared" si="5"/>
        <v>75797.771999999997</v>
      </c>
      <c r="T24" s="267">
        <f t="shared" ref="T24:AB24" si="6">T18*30.2%</f>
        <v>0</v>
      </c>
      <c r="U24" s="267">
        <f t="shared" si="6"/>
        <v>0</v>
      </c>
      <c r="V24" s="267">
        <f t="shared" si="6"/>
        <v>0</v>
      </c>
      <c r="W24" s="267">
        <f t="shared" si="6"/>
        <v>0</v>
      </c>
      <c r="X24" s="267">
        <f t="shared" si="6"/>
        <v>0</v>
      </c>
      <c r="Y24" s="290">
        <f t="shared" si="6"/>
        <v>0</v>
      </c>
      <c r="Z24" s="290">
        <f t="shared" si="6"/>
        <v>0</v>
      </c>
      <c r="AA24" s="267">
        <f t="shared" si="6"/>
        <v>0</v>
      </c>
      <c r="AB24" s="267">
        <f t="shared" si="6"/>
        <v>0</v>
      </c>
      <c r="AC24" s="282">
        <f t="shared" si="2"/>
        <v>0</v>
      </c>
    </row>
    <row r="25" spans="1:33" ht="18.75" thickBot="1">
      <c r="A25" s="36" t="s">
        <v>22</v>
      </c>
      <c r="B25" s="37"/>
      <c r="C25" s="58"/>
      <c r="D25" s="58"/>
      <c r="E25" s="58"/>
      <c r="F25" s="58"/>
      <c r="G25" s="58"/>
      <c r="H25" s="58"/>
      <c r="I25" s="58"/>
      <c r="J25" s="342"/>
      <c r="K25" s="58"/>
      <c r="L25" s="58"/>
      <c r="M25" s="58"/>
      <c r="N25" s="58"/>
      <c r="O25" s="58"/>
      <c r="P25" s="58"/>
      <c r="Q25" s="136"/>
      <c r="R25" s="136"/>
      <c r="S25" s="136"/>
      <c r="T25" s="136"/>
      <c r="U25" s="136"/>
      <c r="V25" s="136"/>
      <c r="W25" s="367"/>
      <c r="X25" s="136"/>
      <c r="Y25" s="136"/>
      <c r="Z25" s="136"/>
      <c r="AA25" s="136"/>
      <c r="AB25" s="136"/>
      <c r="AC25" s="47"/>
    </row>
    <row r="26" spans="1:33" ht="21" customHeight="1">
      <c r="A26" s="40" t="s">
        <v>23</v>
      </c>
      <c r="B26" s="41">
        <v>0</v>
      </c>
      <c r="C26" s="281">
        <f>C8-C15</f>
        <v>4442423.7700000005</v>
      </c>
      <c r="D26" s="281"/>
      <c r="E26" s="281"/>
      <c r="F26" s="281"/>
      <c r="G26" s="281"/>
      <c r="H26" s="281"/>
      <c r="I26" s="281"/>
      <c r="J26" s="19"/>
      <c r="K26" s="281"/>
      <c r="L26" s="281"/>
      <c r="M26" s="281"/>
      <c r="N26" s="281"/>
      <c r="O26" s="281"/>
      <c r="P26" s="281">
        <f>P8-P15</f>
        <v>4583299.71</v>
      </c>
      <c r="Q26" s="19">
        <f>Q8-Q15</f>
        <v>158765.75999999998</v>
      </c>
      <c r="R26" s="19">
        <f>R8-R15</f>
        <v>720002.80999999994</v>
      </c>
      <c r="S26" s="19">
        <f>S8-S15</f>
        <v>627802.83000000007</v>
      </c>
      <c r="T26" s="19">
        <f>T8-T15</f>
        <v>846080.46000000008</v>
      </c>
      <c r="U26" s="19"/>
      <c r="V26" s="19"/>
      <c r="W26" s="19"/>
      <c r="X26" s="19"/>
      <c r="Y26" s="19"/>
      <c r="Z26" s="19"/>
      <c r="AA26" s="19"/>
      <c r="AB26" s="19"/>
      <c r="AC26" s="281">
        <f>B26+C26-P26</f>
        <v>-140875.93999999948</v>
      </c>
      <c r="AD26" s="20"/>
      <c r="AF26" s="20"/>
    </row>
    <row r="27" spans="1:33" ht="19.5" customHeight="1">
      <c r="A27" s="42" t="s">
        <v>24</v>
      </c>
      <c r="B27" s="43">
        <v>0</v>
      </c>
      <c r="C27" s="291"/>
      <c r="D27" s="291"/>
      <c r="E27" s="291"/>
      <c r="F27" s="291"/>
      <c r="G27" s="291"/>
      <c r="H27" s="291"/>
      <c r="I27" s="291"/>
      <c r="J27" s="343"/>
      <c r="K27" s="291"/>
      <c r="L27" s="291"/>
      <c r="M27" s="291"/>
      <c r="N27" s="291"/>
      <c r="O27" s="291"/>
      <c r="P27" s="291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82">
        <f>B27+C27-P27</f>
        <v>0</v>
      </c>
      <c r="AD27" s="20"/>
    </row>
    <row r="28" spans="1:33" ht="22.5" customHeight="1">
      <c r="A28" s="42" t="s">
        <v>25</v>
      </c>
      <c r="B28" s="144">
        <v>0</v>
      </c>
      <c r="C28" s="279">
        <f>C11-C20</f>
        <v>1419663.5309799998</v>
      </c>
      <c r="D28" s="279">
        <f t="shared" ref="D28:N28" si="7">D11-D20</f>
        <v>0</v>
      </c>
      <c r="E28" s="279">
        <f t="shared" si="7"/>
        <v>188048.9</v>
      </c>
      <c r="F28" s="279">
        <f t="shared" si="7"/>
        <v>245993.44</v>
      </c>
      <c r="G28" s="279">
        <f t="shared" si="7"/>
        <v>256376.48</v>
      </c>
      <c r="H28" s="279">
        <f t="shared" si="7"/>
        <v>250464.91</v>
      </c>
      <c r="I28" s="279">
        <f t="shared" si="7"/>
        <v>342543.73</v>
      </c>
      <c r="J28" s="279">
        <f t="shared" si="7"/>
        <v>379784.1</v>
      </c>
      <c r="K28" s="279">
        <f t="shared" si="7"/>
        <v>379784.1</v>
      </c>
      <c r="L28" s="279">
        <f t="shared" si="7"/>
        <v>95966.25</v>
      </c>
      <c r="M28" s="279">
        <f t="shared" si="7"/>
        <v>386513.91</v>
      </c>
      <c r="N28" s="279">
        <f t="shared" si="7"/>
        <v>364100</v>
      </c>
      <c r="O28" s="279"/>
      <c r="P28" s="279">
        <f>P11-P20</f>
        <v>1034852.8717800002</v>
      </c>
      <c r="Q28" s="279">
        <f t="shared" ref="Q28:AA28" si="8">Q11-Q20</f>
        <v>0</v>
      </c>
      <c r="R28" s="279">
        <f t="shared" si="8"/>
        <v>173393.88</v>
      </c>
      <c r="S28" s="279">
        <f t="shared" si="8"/>
        <v>260472.65000000002</v>
      </c>
      <c r="T28" s="279">
        <f t="shared" si="8"/>
        <v>256552.29</v>
      </c>
      <c r="U28" s="279">
        <f t="shared" si="8"/>
        <v>246586.02</v>
      </c>
      <c r="V28" s="279">
        <f t="shared" si="8"/>
        <v>323160.18</v>
      </c>
      <c r="W28" s="279">
        <f t="shared" si="8"/>
        <v>391929.79000000004</v>
      </c>
      <c r="X28" s="279">
        <f t="shared" si="8"/>
        <v>369945.64</v>
      </c>
      <c r="Y28" s="279">
        <f t="shared" si="8"/>
        <v>105740.38</v>
      </c>
      <c r="Z28" s="279">
        <f t="shared" si="8"/>
        <v>376663.95</v>
      </c>
      <c r="AA28" s="279">
        <f t="shared" si="8"/>
        <v>377015.19</v>
      </c>
      <c r="AB28" s="24"/>
      <c r="AC28" s="282">
        <f>B28+C28-P28</f>
        <v>384810.65919999965</v>
      </c>
      <c r="AD28" s="20"/>
      <c r="AF28" s="20"/>
    </row>
    <row r="29" spans="1:33" ht="18.75" hidden="1">
      <c r="A29" s="44" t="s">
        <v>19</v>
      </c>
      <c r="B29" s="268">
        <v>0</v>
      </c>
      <c r="C29" s="292"/>
      <c r="D29" s="292"/>
      <c r="E29" s="292"/>
      <c r="F29" s="292"/>
      <c r="G29" s="292"/>
      <c r="H29" s="292"/>
      <c r="I29" s="292"/>
      <c r="J29" s="345"/>
      <c r="K29" s="292"/>
      <c r="L29" s="292"/>
      <c r="M29" s="292"/>
      <c r="N29" s="292"/>
      <c r="O29" s="292"/>
      <c r="P29" s="292"/>
      <c r="Q29" s="269"/>
      <c r="R29" s="46"/>
      <c r="S29" s="46"/>
      <c r="T29" s="46"/>
      <c r="U29" s="46"/>
      <c r="V29" s="46"/>
      <c r="W29" s="46"/>
      <c r="X29" s="46"/>
      <c r="Y29" s="299"/>
      <c r="Z29" s="46"/>
      <c r="AA29" s="46"/>
      <c r="AB29" s="46"/>
      <c r="AC29" s="282">
        <f t="shared" ref="AC29:AC34" si="9">B29+C29-P29</f>
        <v>0</v>
      </c>
    </row>
    <row r="30" spans="1:33" ht="23.25" customHeight="1">
      <c r="A30" s="48" t="s">
        <v>26</v>
      </c>
      <c r="B30" s="143">
        <v>0</v>
      </c>
      <c r="C30" s="279">
        <f>SUM(D30:O30)</f>
        <v>26571.34</v>
      </c>
      <c r="D30" s="279"/>
      <c r="E30" s="279">
        <f>2571.96+1279.4</f>
        <v>3851.36</v>
      </c>
      <c r="F30" s="279">
        <v>2299.31</v>
      </c>
      <c r="G30" s="279">
        <v>2311.35</v>
      </c>
      <c r="H30" s="279">
        <v>1988.91</v>
      </c>
      <c r="I30" s="279">
        <v>2306.67</v>
      </c>
      <c r="J30" s="344">
        <v>2671.56</v>
      </c>
      <c r="K30" s="279">
        <v>2435.7800000000002</v>
      </c>
      <c r="L30" s="282">
        <f>1890.51+10.58+354</f>
        <v>2255.09</v>
      </c>
      <c r="M30" s="279">
        <v>2396.59</v>
      </c>
      <c r="N30" s="279">
        <v>2297.67</v>
      </c>
      <c r="O30" s="279">
        <v>1757.05</v>
      </c>
      <c r="P30" s="279">
        <f>SUM(Q30:AB30)</f>
        <v>26571.34</v>
      </c>
      <c r="Q30" s="145"/>
      <c r="R30" s="24">
        <f>472+2099.96+1062.57+216.83</f>
        <v>3851.3599999999997</v>
      </c>
      <c r="S30" s="24">
        <f>10.58+1816.73+472</f>
        <v>2299.31</v>
      </c>
      <c r="T30" s="24">
        <f>454+1857.35</f>
        <v>2311.35</v>
      </c>
      <c r="U30" s="24">
        <f>118+3.53+1867.38</f>
        <v>1988.91</v>
      </c>
      <c r="V30" s="24">
        <f>1975.05+77.62+254</f>
        <v>2306.67</v>
      </c>
      <c r="W30" s="24">
        <f>31.75+2285.81+354</f>
        <v>2671.56</v>
      </c>
      <c r="X30" s="24">
        <f>2064.14+354+17.64</f>
        <v>2435.7799999999997</v>
      </c>
      <c r="Y30" s="282">
        <f>1890.51+354+10.58</f>
        <v>2255.09</v>
      </c>
      <c r="Z30" s="282">
        <f>354+24.7+2017.89</f>
        <v>2396.59</v>
      </c>
      <c r="AA30" s="282">
        <f>354+1943.67</f>
        <v>2297.67</v>
      </c>
      <c r="AB30" s="282">
        <f>1403.05+354</f>
        <v>1757.05</v>
      </c>
      <c r="AC30" s="282">
        <f t="shared" si="9"/>
        <v>0</v>
      </c>
    </row>
    <row r="31" spans="1:33" ht="22.5" customHeight="1">
      <c r="A31" s="48" t="s">
        <v>27</v>
      </c>
      <c r="B31" s="143">
        <v>0</v>
      </c>
      <c r="C31" s="293"/>
      <c r="D31" s="280"/>
      <c r="E31" s="281"/>
      <c r="F31" s="281"/>
      <c r="G31" s="281"/>
      <c r="H31" s="281"/>
      <c r="I31" s="281"/>
      <c r="J31" s="19"/>
      <c r="K31" s="281"/>
      <c r="L31" s="281"/>
      <c r="M31" s="281"/>
      <c r="N31" s="281"/>
      <c r="O31" s="281"/>
      <c r="P31" s="293"/>
      <c r="Q31" s="24"/>
      <c r="R31" s="24"/>
      <c r="S31" s="24"/>
      <c r="T31" s="24"/>
      <c r="U31" s="24"/>
      <c r="V31" s="24"/>
      <c r="W31" s="24"/>
      <c r="X31" s="24"/>
      <c r="Y31" s="282"/>
      <c r="Z31" s="24"/>
      <c r="AA31" s="24"/>
      <c r="AB31" s="24"/>
      <c r="AC31" s="282">
        <f t="shared" si="9"/>
        <v>0</v>
      </c>
    </row>
    <row r="32" spans="1:33" ht="28.5" customHeight="1">
      <c r="A32" s="49" t="s">
        <v>28</v>
      </c>
      <c r="B32" s="143">
        <v>0</v>
      </c>
      <c r="C32" s="279">
        <f>SUM(D32:O32)</f>
        <v>14940</v>
      </c>
      <c r="D32" s="294"/>
      <c r="E32" s="282"/>
      <c r="F32" s="282"/>
      <c r="G32" s="282"/>
      <c r="H32" s="282"/>
      <c r="I32" s="282"/>
      <c r="J32" s="24"/>
      <c r="K32" s="282"/>
      <c r="L32" s="282">
        <f>SUM(L33)</f>
        <v>2988</v>
      </c>
      <c r="M32" s="282"/>
      <c r="N32" s="282">
        <f>4000+3700</f>
        <v>7700</v>
      </c>
      <c r="O32" s="282">
        <f>SUM(O33)</f>
        <v>4252</v>
      </c>
      <c r="P32" s="279">
        <f>SUM(Q32:AB32)</f>
        <v>14940</v>
      </c>
      <c r="Q32" s="24"/>
      <c r="R32" s="24"/>
      <c r="S32" s="24"/>
      <c r="T32" s="24"/>
      <c r="U32" s="24"/>
      <c r="V32" s="24"/>
      <c r="W32" s="24"/>
      <c r="X32" s="24"/>
      <c r="Y32" s="282">
        <f>SUM(Y33)</f>
        <v>2988</v>
      </c>
      <c r="Z32" s="24"/>
      <c r="AA32" s="282">
        <f>4000+3700</f>
        <v>7700</v>
      </c>
      <c r="AB32" s="282">
        <f>SUM(AB33)</f>
        <v>4252</v>
      </c>
      <c r="AC32" s="282">
        <f t="shared" si="9"/>
        <v>0</v>
      </c>
      <c r="AD32" s="20"/>
      <c r="AE32" s="20"/>
    </row>
    <row r="33" spans="1:32" s="2" customFormat="1" ht="18.75">
      <c r="A33" s="50" t="s">
        <v>29</v>
      </c>
      <c r="B33" s="144">
        <v>0</v>
      </c>
      <c r="C33" s="295"/>
      <c r="D33" s="296"/>
      <c r="E33" s="278"/>
      <c r="F33" s="278"/>
      <c r="G33" s="278"/>
      <c r="H33" s="278"/>
      <c r="I33" s="278"/>
      <c r="J33" s="23"/>
      <c r="K33" s="278"/>
      <c r="L33" s="278">
        <v>2988</v>
      </c>
      <c r="M33" s="278"/>
      <c r="N33" s="278"/>
      <c r="O33" s="278">
        <f>3100+1152</f>
        <v>4252</v>
      </c>
      <c r="P33" s="295"/>
      <c r="Q33" s="23"/>
      <c r="R33" s="23"/>
      <c r="S33" s="23"/>
      <c r="T33" s="23"/>
      <c r="U33" s="23"/>
      <c r="V33" s="23"/>
      <c r="W33" s="23"/>
      <c r="X33" s="23"/>
      <c r="Y33" s="278">
        <v>2988</v>
      </c>
      <c r="Z33" s="23"/>
      <c r="AA33" s="23"/>
      <c r="AB33" s="278">
        <f>3100+1032+120</f>
        <v>4252</v>
      </c>
      <c r="AC33" s="282">
        <f t="shared" si="9"/>
        <v>0</v>
      </c>
      <c r="AD33" s="51"/>
      <c r="AE33" s="51"/>
    </row>
    <row r="34" spans="1:32" ht="22.5" customHeight="1">
      <c r="A34" s="49" t="s">
        <v>30</v>
      </c>
      <c r="B34" s="143">
        <v>0</v>
      </c>
      <c r="C34" s="279">
        <f>SUM(D34:O34)</f>
        <v>88590.17</v>
      </c>
      <c r="D34" s="294"/>
      <c r="E34" s="282"/>
      <c r="F34" s="282">
        <v>4356</v>
      </c>
      <c r="G34" s="282">
        <f>G35+40613</f>
        <v>45365</v>
      </c>
      <c r="H34" s="282">
        <v>5726</v>
      </c>
      <c r="I34" s="282">
        <v>5076</v>
      </c>
      <c r="J34" s="24">
        <v>1426</v>
      </c>
      <c r="K34" s="282">
        <f>1426+6360</f>
        <v>7786</v>
      </c>
      <c r="L34" s="282">
        <f>2400+1426</f>
        <v>3826</v>
      </c>
      <c r="M34" s="282">
        <v>1426</v>
      </c>
      <c r="N34" s="282">
        <f>8201.17+5402</f>
        <v>13603.17</v>
      </c>
      <c r="O34" s="282"/>
      <c r="P34" s="279">
        <f>SUM(Q34:AB34)</f>
        <v>88590.17</v>
      </c>
      <c r="Q34" s="24"/>
      <c r="R34" s="24"/>
      <c r="S34" s="24">
        <f>1426+2930</f>
        <v>4356</v>
      </c>
      <c r="T34" s="24">
        <f>SUM(T35)+5610+35003</f>
        <v>45365</v>
      </c>
      <c r="U34" s="24">
        <f>4300+1426</f>
        <v>5726</v>
      </c>
      <c r="V34" s="24">
        <f>3650+1426</f>
        <v>5076</v>
      </c>
      <c r="W34" s="24">
        <v>1426</v>
      </c>
      <c r="X34" s="24">
        <f>1426+6360</f>
        <v>7786</v>
      </c>
      <c r="Y34" s="282">
        <f>2400+1426</f>
        <v>3826</v>
      </c>
      <c r="Z34" s="24">
        <v>1426</v>
      </c>
      <c r="AA34" s="282">
        <f>800+1426+5975.17+2550+2852</f>
        <v>13603.17</v>
      </c>
      <c r="AB34" s="282"/>
      <c r="AC34" s="282">
        <f t="shared" si="9"/>
        <v>0</v>
      </c>
    </row>
    <row r="35" spans="1:32" ht="28.5" customHeight="1">
      <c r="A35" s="50" t="s">
        <v>146</v>
      </c>
      <c r="B35" s="52"/>
      <c r="C35" s="281"/>
      <c r="D35" s="282"/>
      <c r="E35" s="282"/>
      <c r="F35" s="282"/>
      <c r="G35" s="278">
        <f>3326+1426</f>
        <v>4752</v>
      </c>
      <c r="H35" s="282"/>
      <c r="I35" s="282"/>
      <c r="J35" s="24"/>
      <c r="K35" s="282"/>
      <c r="L35" s="278"/>
      <c r="M35" s="282"/>
      <c r="N35" s="282"/>
      <c r="O35" s="282"/>
      <c r="P35" s="281"/>
      <c r="Q35" s="53"/>
      <c r="R35" s="53"/>
      <c r="S35" s="53"/>
      <c r="T35" s="239">
        <f>1900+1426+1426</f>
        <v>4752</v>
      </c>
      <c r="U35" s="53"/>
      <c r="V35" s="53"/>
      <c r="W35" s="53"/>
      <c r="X35" s="53"/>
      <c r="Y35" s="372"/>
      <c r="Z35" s="53"/>
      <c r="AA35" s="53"/>
      <c r="AB35" s="53"/>
      <c r="AC35" s="388"/>
    </row>
    <row r="36" spans="1:32" ht="27">
      <c r="A36" s="49" t="s">
        <v>31</v>
      </c>
      <c r="B36" s="30">
        <v>0</v>
      </c>
      <c r="C36" s="279">
        <f>SUM(D36:O36)</f>
        <v>115123</v>
      </c>
      <c r="D36" s="282"/>
      <c r="E36" s="282"/>
      <c r="F36" s="282"/>
      <c r="G36" s="282"/>
      <c r="H36" s="282"/>
      <c r="I36" s="282"/>
      <c r="J36" s="24"/>
      <c r="K36" s="282"/>
      <c r="L36" s="282"/>
      <c r="M36" s="282"/>
      <c r="N36" s="282">
        <f>SUM(N37:N38)</f>
        <v>65200</v>
      </c>
      <c r="O36" s="282">
        <f>SUM(O37:O38)</f>
        <v>49923</v>
      </c>
      <c r="P36" s="279">
        <f>SUM(Q36:AB36)</f>
        <v>115123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82">
        <f>SUM(AA37:AA38)</f>
        <v>65200</v>
      </c>
      <c r="AB36" s="282">
        <f>SUM(AB37:AB38)</f>
        <v>49923</v>
      </c>
      <c r="AC36" s="282">
        <f>B36+C36-P36</f>
        <v>0</v>
      </c>
    </row>
    <row r="37" spans="1:32" ht="23.25" customHeight="1">
      <c r="A37" s="50" t="s">
        <v>167</v>
      </c>
      <c r="B37" s="52"/>
      <c r="C37" s="282"/>
      <c r="D37" s="282"/>
      <c r="E37" s="282"/>
      <c r="F37" s="282"/>
      <c r="G37" s="282"/>
      <c r="H37" s="282"/>
      <c r="I37" s="282"/>
      <c r="J37" s="24"/>
      <c r="K37" s="282"/>
      <c r="L37" s="282"/>
      <c r="M37" s="282"/>
      <c r="N37" s="278">
        <v>63214</v>
      </c>
      <c r="O37" s="278">
        <v>49923</v>
      </c>
      <c r="P37" s="278">
        <f>SUM(AA37)</f>
        <v>63214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>
        <v>63214</v>
      </c>
      <c r="AB37" s="372">
        <v>49923</v>
      </c>
      <c r="AC37" s="388"/>
    </row>
    <row r="38" spans="1:32" ht="23.25" customHeight="1">
      <c r="A38" s="50" t="s">
        <v>168</v>
      </c>
      <c r="B38" s="52"/>
      <c r="C38" s="282"/>
      <c r="D38" s="282"/>
      <c r="E38" s="282"/>
      <c r="F38" s="282"/>
      <c r="G38" s="282"/>
      <c r="H38" s="282"/>
      <c r="I38" s="282"/>
      <c r="J38" s="24"/>
      <c r="K38" s="282"/>
      <c r="L38" s="282"/>
      <c r="M38" s="282"/>
      <c r="N38" s="278">
        <v>1986</v>
      </c>
      <c r="O38" s="282"/>
      <c r="P38" s="278">
        <f>SUM(AA38)</f>
        <v>1986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>
        <v>1986</v>
      </c>
      <c r="AB38" s="53"/>
      <c r="AC38" s="388"/>
    </row>
    <row r="39" spans="1:32" ht="27">
      <c r="A39" s="49" t="s">
        <v>32</v>
      </c>
      <c r="B39" s="30">
        <v>0</v>
      </c>
      <c r="C39" s="279">
        <f>SUM(D39:O39)</f>
        <v>591916.49</v>
      </c>
      <c r="D39" s="282"/>
      <c r="E39" s="282"/>
      <c r="F39" s="282"/>
      <c r="G39" s="282">
        <f>SUM(G41:G44)</f>
        <v>20000</v>
      </c>
      <c r="H39" s="282"/>
      <c r="I39" s="282"/>
      <c r="J39" s="24">
        <f>SUM(J41:J44)</f>
        <v>17985.61</v>
      </c>
      <c r="K39" s="282">
        <f>SUM(K40:K44)</f>
        <v>49262.25</v>
      </c>
      <c r="L39" s="282"/>
      <c r="M39" s="282"/>
      <c r="N39" s="282">
        <f>SUM(N40:N44)</f>
        <v>493280.25</v>
      </c>
      <c r="O39" s="282">
        <f>SUM(O40:O44)</f>
        <v>11388.38</v>
      </c>
      <c r="P39" s="279">
        <f>SUM(Q39:AB39)</f>
        <v>591916.49</v>
      </c>
      <c r="Q39" s="24"/>
      <c r="R39" s="24"/>
      <c r="S39" s="24"/>
      <c r="T39" s="24">
        <f>SUM(T41:T44)</f>
        <v>20000</v>
      </c>
      <c r="U39" s="24"/>
      <c r="V39" s="24"/>
      <c r="W39" s="24">
        <f>SUM(W41:W44)</f>
        <v>17985.61</v>
      </c>
      <c r="X39" s="24">
        <f>SUM(X40:X44)</f>
        <v>49262.25</v>
      </c>
      <c r="Y39" s="24"/>
      <c r="Z39" s="24"/>
      <c r="AA39" s="282">
        <f>SUM(AA40:AA44)</f>
        <v>493280.25</v>
      </c>
      <c r="AB39" s="282">
        <f>SUM(AB40:AB44)</f>
        <v>11388.38</v>
      </c>
      <c r="AC39" s="282">
        <f>B39+C39-P39</f>
        <v>0</v>
      </c>
    </row>
    <row r="40" spans="1:32" ht="15.75" customHeight="1">
      <c r="A40" s="55" t="s">
        <v>169</v>
      </c>
      <c r="B40" s="52" t="s">
        <v>33</v>
      </c>
      <c r="C40" s="295">
        <f>SUM(D40:O40)</f>
        <v>125447.63</v>
      </c>
      <c r="D40" s="297"/>
      <c r="E40" s="297"/>
      <c r="F40" s="297"/>
      <c r="G40" s="297"/>
      <c r="H40" s="297"/>
      <c r="I40" s="297"/>
      <c r="J40" s="346"/>
      <c r="K40" s="297">
        <v>14108</v>
      </c>
      <c r="L40" s="297"/>
      <c r="M40" s="297"/>
      <c r="N40" s="297">
        <v>99951.25</v>
      </c>
      <c r="O40" s="297">
        <v>11388.38</v>
      </c>
      <c r="P40" s="295">
        <f>SUM(Q40:AB40)</f>
        <v>125447.63</v>
      </c>
      <c r="Q40" s="53"/>
      <c r="R40" s="53"/>
      <c r="S40" s="53"/>
      <c r="T40" s="53"/>
      <c r="U40" s="53"/>
      <c r="V40" s="53"/>
      <c r="W40" s="53"/>
      <c r="X40" s="381">
        <v>14108</v>
      </c>
      <c r="Y40" s="53"/>
      <c r="Z40" s="53"/>
      <c r="AA40" s="372">
        <v>99951.25</v>
      </c>
      <c r="AB40" s="372">
        <v>11388.38</v>
      </c>
      <c r="AC40" s="54" t="s">
        <v>33</v>
      </c>
    </row>
    <row r="41" spans="1:32" ht="19.5" customHeight="1">
      <c r="A41" s="55" t="s">
        <v>170</v>
      </c>
      <c r="B41" s="52" t="s">
        <v>33</v>
      </c>
      <c r="C41" s="295">
        <f>SUM(N41)</f>
        <v>84301</v>
      </c>
      <c r="D41" s="297"/>
      <c r="E41" s="297"/>
      <c r="F41" s="297"/>
      <c r="G41" s="297"/>
      <c r="H41" s="297"/>
      <c r="I41" s="297"/>
      <c r="J41" s="346"/>
      <c r="K41" s="297"/>
      <c r="L41" s="297"/>
      <c r="M41" s="297"/>
      <c r="N41" s="297">
        <v>84301</v>
      </c>
      <c r="O41" s="297"/>
      <c r="P41" s="295">
        <f>SUM(Q41:AB41)</f>
        <v>84301</v>
      </c>
      <c r="Q41" s="53"/>
      <c r="R41" s="53"/>
      <c r="S41" s="53"/>
      <c r="T41" s="53"/>
      <c r="U41" s="53"/>
      <c r="V41" s="53"/>
      <c r="W41" s="53"/>
      <c r="X41" s="381"/>
      <c r="Y41" s="53"/>
      <c r="Z41" s="53"/>
      <c r="AA41" s="372">
        <f>64739+19562</f>
        <v>84301</v>
      </c>
      <c r="AB41" s="53"/>
      <c r="AC41" s="54" t="s">
        <v>33</v>
      </c>
    </row>
    <row r="42" spans="1:32" ht="16.5" customHeight="1">
      <c r="A42" s="55" t="s">
        <v>158</v>
      </c>
      <c r="B42" s="52"/>
      <c r="C42" s="295">
        <f>SUM(D42:O42)</f>
        <v>52549.61</v>
      </c>
      <c r="D42" s="297"/>
      <c r="E42" s="297"/>
      <c r="F42" s="297"/>
      <c r="G42" s="297">
        <v>20000</v>
      </c>
      <c r="H42" s="297"/>
      <c r="I42" s="297"/>
      <c r="J42" s="346">
        <v>17985.61</v>
      </c>
      <c r="K42" s="297"/>
      <c r="L42" s="297"/>
      <c r="M42" s="297"/>
      <c r="N42" s="297">
        <f>14564</f>
        <v>14564</v>
      </c>
      <c r="O42" s="297"/>
      <c r="P42" s="295">
        <f>SUM(Q42:AB42)</f>
        <v>52549.61</v>
      </c>
      <c r="Q42" s="53"/>
      <c r="R42" s="53"/>
      <c r="S42" s="53"/>
      <c r="T42" s="53">
        <v>20000</v>
      </c>
      <c r="U42" s="53"/>
      <c r="V42" s="53"/>
      <c r="W42" s="53">
        <v>17985.61</v>
      </c>
      <c r="X42" s="381"/>
      <c r="Y42" s="53"/>
      <c r="Z42" s="53"/>
      <c r="AA42" s="372">
        <v>14564</v>
      </c>
      <c r="AB42" s="53"/>
      <c r="AC42" s="54"/>
    </row>
    <row r="43" spans="1:32" ht="16.5" customHeight="1">
      <c r="A43" s="50" t="s">
        <v>166</v>
      </c>
      <c r="B43" s="52"/>
      <c r="C43" s="295">
        <f>SUM(N43)</f>
        <v>159200</v>
      </c>
      <c r="D43" s="297"/>
      <c r="E43" s="297"/>
      <c r="F43" s="297"/>
      <c r="G43" s="297"/>
      <c r="H43" s="297"/>
      <c r="I43" s="297"/>
      <c r="J43" s="346"/>
      <c r="K43" s="297"/>
      <c r="L43" s="297"/>
      <c r="M43" s="297"/>
      <c r="N43" s="297">
        <v>159200</v>
      </c>
      <c r="O43" s="297"/>
      <c r="P43" s="295">
        <f>SUM(AA43)</f>
        <v>159200</v>
      </c>
      <c r="Q43" s="53"/>
      <c r="R43" s="53"/>
      <c r="S43" s="53"/>
      <c r="T43" s="53"/>
      <c r="U43" s="53"/>
      <c r="V43" s="53"/>
      <c r="W43" s="53"/>
      <c r="X43" s="381"/>
      <c r="Y43" s="53"/>
      <c r="Z43" s="53"/>
      <c r="AA43" s="372">
        <f>126492+32708</f>
        <v>159200</v>
      </c>
      <c r="AB43" s="53"/>
      <c r="AC43" s="54"/>
    </row>
    <row r="44" spans="1:32" ht="18" customHeight="1">
      <c r="A44" s="55" t="s">
        <v>159</v>
      </c>
      <c r="B44" s="52" t="s">
        <v>33</v>
      </c>
      <c r="C44" s="295">
        <f>SUM(D44:O44)</f>
        <v>170418.25</v>
      </c>
      <c r="D44" s="297"/>
      <c r="E44" s="297"/>
      <c r="F44" s="297"/>
      <c r="G44" s="297"/>
      <c r="H44" s="297"/>
      <c r="I44" s="297"/>
      <c r="J44" s="346"/>
      <c r="K44" s="297">
        <v>35154.25</v>
      </c>
      <c r="L44" s="297"/>
      <c r="M44" s="297"/>
      <c r="N44" s="297">
        <v>135264</v>
      </c>
      <c r="O44" s="297"/>
      <c r="P44" s="295">
        <f>SUM(Q44:AB44)</f>
        <v>170418.25</v>
      </c>
      <c r="Q44" s="53"/>
      <c r="R44" s="53"/>
      <c r="S44" s="53"/>
      <c r="T44" s="53"/>
      <c r="U44" s="53"/>
      <c r="V44" s="53"/>
      <c r="W44" s="53"/>
      <c r="X44" s="371">
        <v>35154.25</v>
      </c>
      <c r="Y44" s="53"/>
      <c r="Z44" s="53"/>
      <c r="AA44" s="372">
        <f>117060+18204</f>
        <v>135264</v>
      </c>
      <c r="AB44" s="53"/>
      <c r="AC44" s="54" t="s">
        <v>33</v>
      </c>
    </row>
    <row r="45" spans="1:32" ht="16.5" customHeight="1" thickBot="1">
      <c r="A45" s="131" t="s">
        <v>35</v>
      </c>
      <c r="B45" s="132">
        <f>B8+B10+B11+B30+B32+B34+B36+B39+B31</f>
        <v>0</v>
      </c>
      <c r="C45" s="298">
        <f>C8+C10+C11+C30+C32+C34+C36+C39+C31</f>
        <v>16682271.340000002</v>
      </c>
      <c r="D45" s="298">
        <f>D8+D10+D11+D30+D32+D34+D36+D39+D31</f>
        <v>191764.25</v>
      </c>
      <c r="E45" s="298">
        <f>E8+E10+E11+E30+E32+E34+E36+E39+E31</f>
        <v>924289.53999999992</v>
      </c>
      <c r="F45" s="298">
        <f>F8+F10+F11+F30+F32+F34+F36+F39+F31</f>
        <v>1166957.6399999999</v>
      </c>
      <c r="G45" s="298">
        <f t="shared" ref="G45:O45" si="10">G8+G10+G11+G30+G32+G34+G36+G39+G31</f>
        <v>1084957.27</v>
      </c>
      <c r="H45" s="298">
        <f t="shared" si="10"/>
        <v>1043758.9600000001</v>
      </c>
      <c r="I45" s="298">
        <f t="shared" si="10"/>
        <v>1853933.49</v>
      </c>
      <c r="J45" s="133">
        <f t="shared" si="10"/>
        <v>1731981.8100000003</v>
      </c>
      <c r="K45" s="298">
        <f t="shared" si="10"/>
        <v>1252250</v>
      </c>
      <c r="L45" s="298">
        <f>L8+L10+L11+L30+L32+L34+L36+L39+L31</f>
        <v>539165.28999999992</v>
      </c>
      <c r="M45" s="298">
        <f t="shared" si="10"/>
        <v>1780593.5</v>
      </c>
      <c r="N45" s="298">
        <f t="shared" si="10"/>
        <v>2283455.67</v>
      </c>
      <c r="O45" s="298">
        <f t="shared" si="10"/>
        <v>2829163.9199999995</v>
      </c>
      <c r="P45" s="298">
        <f>P8+P10+P11+P30+P32+P34+P36+P39+P31</f>
        <v>16133390.370000001</v>
      </c>
      <c r="Q45" s="133">
        <f>Q8+Q10+Q11+Q30+Q32+Q34+Q36+Q39+Q31</f>
        <v>158765.75999999998</v>
      </c>
      <c r="R45" s="133">
        <f>R8+R10+R11+R30+R32+R34+R36+R39+R31</f>
        <v>897685.14999999991</v>
      </c>
      <c r="S45" s="133">
        <f>S8+S10+S11+S30+S32+S34+S36+S39+S31</f>
        <v>1146366.79</v>
      </c>
      <c r="T45" s="133">
        <f t="shared" ref="T45:AB45" si="11">T8+T10+T11+T30+T32+T34+T36+T39+T31</f>
        <v>1170775.2300000002</v>
      </c>
      <c r="U45" s="133">
        <f t="shared" si="11"/>
        <v>1005413.9299999999</v>
      </c>
      <c r="V45" s="133">
        <f t="shared" si="11"/>
        <v>1860982.0999999996</v>
      </c>
      <c r="W45" s="133">
        <f t="shared" si="11"/>
        <v>1746492.09</v>
      </c>
      <c r="X45" s="133">
        <f t="shared" si="11"/>
        <v>1117459.95</v>
      </c>
      <c r="Y45" s="133">
        <f t="shared" si="11"/>
        <v>582502.35</v>
      </c>
      <c r="Z45" s="133">
        <f t="shared" si="11"/>
        <v>1629708.67</v>
      </c>
      <c r="AA45" s="133">
        <f t="shared" si="11"/>
        <v>2231917.2199999997</v>
      </c>
      <c r="AB45" s="133">
        <f t="shared" si="11"/>
        <v>2585321.13</v>
      </c>
      <c r="AC45" s="134">
        <f>B45+C45-P45</f>
        <v>548880.97000000067</v>
      </c>
      <c r="AD45" s="20">
        <f>AC8+AC10+AC11+AC30+AC32+AC34+AC36+AC39</f>
        <v>548880.97000000067</v>
      </c>
    </row>
    <row r="46" spans="1:32" ht="15.75" customHeight="1" thickBot="1">
      <c r="A46" s="57" t="s">
        <v>36</v>
      </c>
      <c r="B46" s="37"/>
      <c r="C46" s="58"/>
      <c r="D46" s="58"/>
      <c r="E46" s="58"/>
      <c r="F46" s="58"/>
      <c r="G46" s="58"/>
      <c r="H46" s="58"/>
      <c r="I46" s="58"/>
      <c r="J46" s="342"/>
      <c r="K46" s="58"/>
      <c r="L46" s="58"/>
      <c r="M46" s="58"/>
      <c r="N46" s="58"/>
      <c r="O46" s="58"/>
      <c r="P46" s="58"/>
      <c r="Q46" s="137"/>
      <c r="R46" s="137"/>
      <c r="S46" s="137"/>
      <c r="T46" s="137"/>
      <c r="U46" s="137"/>
      <c r="V46" s="137"/>
      <c r="W46" s="367"/>
      <c r="X46" s="137"/>
      <c r="Y46" s="137"/>
      <c r="Z46" s="137"/>
      <c r="AA46" s="137"/>
      <c r="AB46" s="137"/>
      <c r="AC46" s="59"/>
    </row>
    <row r="47" spans="1:32" ht="18.75" thickBot="1">
      <c r="A47" s="37" t="s">
        <v>37</v>
      </c>
      <c r="B47" s="37"/>
      <c r="C47" s="58"/>
      <c r="D47" s="58"/>
      <c r="E47" s="58"/>
      <c r="F47" s="58"/>
      <c r="G47" s="58"/>
      <c r="H47" s="58"/>
      <c r="I47" s="58"/>
      <c r="J47" s="342"/>
      <c r="K47" s="58"/>
      <c r="L47" s="58"/>
      <c r="M47" s="58"/>
      <c r="N47" s="58"/>
      <c r="O47" s="58"/>
      <c r="P47" s="58"/>
      <c r="Q47" s="138"/>
      <c r="R47" s="138"/>
      <c r="S47" s="138"/>
      <c r="T47" s="138"/>
      <c r="U47" s="138"/>
      <c r="V47" s="138"/>
      <c r="W47" s="367"/>
      <c r="X47" s="138"/>
      <c r="Y47" s="138"/>
      <c r="Z47" s="138"/>
      <c r="AA47" s="138"/>
      <c r="AB47" s="138"/>
      <c r="AC47" s="60"/>
    </row>
    <row r="48" spans="1:32" ht="28.5" customHeight="1">
      <c r="A48" s="61" t="s">
        <v>14</v>
      </c>
      <c r="B48" s="28">
        <v>0</v>
      </c>
      <c r="C48" s="279">
        <f>SUM(D48:O48)</f>
        <v>1760959.1099999999</v>
      </c>
      <c r="D48" s="281">
        <v>28602.05</v>
      </c>
      <c r="E48" s="281">
        <f>114430+47828.84</f>
        <v>162258.84</v>
      </c>
      <c r="F48" s="281">
        <f>104135.25+34284.88</f>
        <v>138420.13</v>
      </c>
      <c r="G48" s="281">
        <f>87134.68+32938.8+4998.75</f>
        <v>125072.23</v>
      </c>
      <c r="H48" s="281">
        <f>106030.66+26992.06-870.47</f>
        <v>132152.25</v>
      </c>
      <c r="I48" s="281">
        <f>122156.5+16902</f>
        <v>139058.5</v>
      </c>
      <c r="J48" s="19">
        <f>99152.26+50+124529.17-50</f>
        <v>223681.43</v>
      </c>
      <c r="K48" s="281">
        <f>101266.93+23960.39-15326.81-3126.8</f>
        <v>106773.70999999999</v>
      </c>
      <c r="L48" s="281">
        <f>74284.88+11784.59</f>
        <v>86069.47</v>
      </c>
      <c r="M48" s="281">
        <f>104289.85+70814.62-5054.66</f>
        <v>170049.81</v>
      </c>
      <c r="N48" s="281">
        <f>122202.04+88797.96</f>
        <v>211000</v>
      </c>
      <c r="O48" s="281">
        <f>122550.04+28395.86+81337.37+462.61+5074.81</f>
        <v>237820.68999999997</v>
      </c>
      <c r="P48" s="279">
        <f>SUM(Q48:AB48)</f>
        <v>1735755.3599999999</v>
      </c>
      <c r="Q48" s="19">
        <f>2294+21044.49+3959.06+1721.1</f>
        <v>29018.65</v>
      </c>
      <c r="R48" s="19">
        <f>94043.67+14392+1407.22+213+365.43+2520.75+5109+38579.09</f>
        <v>156630.15999999997</v>
      </c>
      <c r="S48" s="19">
        <f>9962+70712.63+270.31+31555.62+3672+214.5+90</f>
        <v>116477.06</v>
      </c>
      <c r="T48" s="19">
        <f>87602.8+359.05+12775+3344.12+5060+36521.78</f>
        <v>145662.75</v>
      </c>
      <c r="U48" s="19">
        <f>4684.96+80510.87+371.21+426+2852.26+26992.06+1281+6369.72+700+11868</f>
        <v>136056.08000000002</v>
      </c>
      <c r="V48" s="19">
        <f>375.32+130.79+79899.82+14509+193.15+7144+1067+31123.12</f>
        <v>134442.20000000001</v>
      </c>
      <c r="W48" s="19">
        <f>77945.51+359.4+14942+1536+10282.52+1456+9743.65+3417.4+511+27263.12+45104.7+5828+28835.75</f>
        <v>227225.05</v>
      </c>
      <c r="X48" s="19">
        <f>75489.34+18490.34+741.35-28835.75+12358.94</f>
        <v>78244.22</v>
      </c>
      <c r="Y48" s="281">
        <f>136.82+1839.38+52870.69+8654+3412.66+510+269+1801.02+33842.92</f>
        <v>103336.49</v>
      </c>
      <c r="Z48" s="281">
        <f>76585.5+14361+456.2+69+1000+111.73+281.47+2996.32+540.62+2830.32+423+29401.4+41.45</f>
        <v>129098.01</v>
      </c>
      <c r="AA48" s="19">
        <f>142.37+15575.66+86982.11+287.82+3558.1+532+30656.46</f>
        <v>137734.52000000002</v>
      </c>
      <c r="AB48" s="281">
        <f>124578.17+390.24+143.25+20096+3366.44+504+142.86+33877.9+158098.87+488.62+143.82</f>
        <v>341830.17</v>
      </c>
      <c r="AC48" s="281">
        <f>B48+C48-P48</f>
        <v>25203.75</v>
      </c>
      <c r="AD48" s="718"/>
      <c r="AE48" s="719"/>
      <c r="AF48" s="20"/>
    </row>
    <row r="49" spans="1:32" ht="18.75">
      <c r="A49" s="48" t="s">
        <v>24</v>
      </c>
      <c r="B49" s="30">
        <v>0</v>
      </c>
      <c r="C49" s="279">
        <f>SUM(D49:O49)</f>
        <v>611.29</v>
      </c>
      <c r="D49" s="282"/>
      <c r="E49" s="282"/>
      <c r="F49" s="282"/>
      <c r="G49" s="282"/>
      <c r="H49" s="282"/>
      <c r="I49" s="282"/>
      <c r="J49" s="24">
        <v>50</v>
      </c>
      <c r="K49" s="282">
        <v>100</v>
      </c>
      <c r="L49" s="282">
        <f>100-38.71</f>
        <v>61.29</v>
      </c>
      <c r="M49" s="282">
        <v>100</v>
      </c>
      <c r="N49" s="282">
        <v>50</v>
      </c>
      <c r="O49" s="282">
        <v>250</v>
      </c>
      <c r="P49" s="279">
        <f>SUM(Q49:AB49)</f>
        <v>611.29</v>
      </c>
      <c r="Q49" s="19"/>
      <c r="R49" s="19"/>
      <c r="S49" s="19"/>
      <c r="T49" s="19"/>
      <c r="U49" s="19"/>
      <c r="V49" s="19"/>
      <c r="W49" s="19">
        <v>50</v>
      </c>
      <c r="X49" s="19">
        <v>61.29</v>
      </c>
      <c r="Y49" s="281">
        <v>100</v>
      </c>
      <c r="Z49" s="281">
        <v>100</v>
      </c>
      <c r="AA49" s="281">
        <v>100</v>
      </c>
      <c r="AB49" s="19">
        <f>100+100</f>
        <v>200</v>
      </c>
      <c r="AC49" s="404">
        <f>B49+C49-P49</f>
        <v>0</v>
      </c>
      <c r="AD49" s="720" t="s">
        <v>173</v>
      </c>
    </row>
    <row r="50" spans="1:32" ht="18.75">
      <c r="A50" s="48" t="s">
        <v>25</v>
      </c>
      <c r="B50" s="30">
        <v>0</v>
      </c>
      <c r="C50" s="279">
        <f>SUM(D50:O50)</f>
        <v>524793.9</v>
      </c>
      <c r="D50" s="282"/>
      <c r="E50" s="282">
        <v>43199</v>
      </c>
      <c r="F50" s="282">
        <v>44850.04</v>
      </c>
      <c r="G50" s="282">
        <f>41186.12-4998.75</f>
        <v>36187.370000000003</v>
      </c>
      <c r="H50" s="282">
        <f>37971.6+870.47</f>
        <v>38842.07</v>
      </c>
      <c r="I50" s="282">
        <v>47219.91</v>
      </c>
      <c r="J50" s="24">
        <v>40131.24</v>
      </c>
      <c r="K50" s="282">
        <v>57264.39</v>
      </c>
      <c r="L50" s="282">
        <f>22403.83-406.15</f>
        <v>21997.68</v>
      </c>
      <c r="M50" s="282">
        <f>31495.53+5054.66</f>
        <v>36550.19</v>
      </c>
      <c r="N50" s="282">
        <v>58045.04</v>
      </c>
      <c r="O50" s="282">
        <f>68045.04+37536.74-5074.81</f>
        <v>100506.97</v>
      </c>
      <c r="P50" s="279">
        <f>SUM(Q50:AB50)</f>
        <v>459089.72999999992</v>
      </c>
      <c r="Q50" s="24"/>
      <c r="R50" s="24">
        <v>41887.47</v>
      </c>
      <c r="S50" s="24">
        <f>254.49+3690.07+6489.43+27993.63</f>
        <v>38427.620000000003</v>
      </c>
      <c r="T50" s="24">
        <v>41186.15</v>
      </c>
      <c r="U50" s="24">
        <f>41577.24</f>
        <v>41577.24</v>
      </c>
      <c r="V50" s="24">
        <v>41742.43</v>
      </c>
      <c r="W50" s="263">
        <f>29234.68+265.77+6777.13+3853.66</f>
        <v>40131.240000000005</v>
      </c>
      <c r="X50" s="24">
        <v>59264.39</v>
      </c>
      <c r="Y50" s="282">
        <f>22952.41</f>
        <v>22952.41</v>
      </c>
      <c r="Z50" s="282">
        <v>39072.94</v>
      </c>
      <c r="AA50" s="282">
        <v>39709.660000000003</v>
      </c>
      <c r="AB50" s="282">
        <v>53138.18</v>
      </c>
      <c r="AC50" s="282">
        <f>B50+C50-P50</f>
        <v>65704.1700000001</v>
      </c>
      <c r="AD50" s="721"/>
      <c r="AF50" s="20"/>
    </row>
    <row r="51" spans="1:32" ht="18.75">
      <c r="A51" s="62" t="s">
        <v>19</v>
      </c>
      <c r="B51" s="45">
        <v>0</v>
      </c>
      <c r="C51" s="279">
        <f>SUM(D51:O51)</f>
        <v>0</v>
      </c>
      <c r="D51" s="299"/>
      <c r="E51" s="299"/>
      <c r="F51" s="299"/>
      <c r="G51" s="299"/>
      <c r="H51" s="299"/>
      <c r="I51" s="299"/>
      <c r="J51" s="46"/>
      <c r="K51" s="299"/>
      <c r="L51" s="299"/>
      <c r="M51" s="299"/>
      <c r="N51" s="299"/>
      <c r="O51" s="299"/>
      <c r="P51" s="279">
        <f>SUM(Q51:AB51)</f>
        <v>0</v>
      </c>
      <c r="Q51" s="139"/>
      <c r="R51" s="139"/>
      <c r="S51" s="139"/>
      <c r="T51" s="139"/>
      <c r="U51" s="139"/>
      <c r="V51" s="139"/>
      <c r="W51" s="139"/>
      <c r="X51" s="139"/>
      <c r="Y51" s="139"/>
      <c r="Z51" s="394"/>
      <c r="AA51" s="394"/>
      <c r="AB51" s="139"/>
      <c r="AC51" s="281">
        <f>B51+C51-P51</f>
        <v>0</v>
      </c>
    </row>
    <row r="52" spans="1:32" ht="18.75">
      <c r="A52" s="48" t="s">
        <v>26</v>
      </c>
      <c r="B52" s="30">
        <v>0</v>
      </c>
      <c r="C52" s="279"/>
      <c r="D52" s="282"/>
      <c r="E52" s="282"/>
      <c r="F52" s="282"/>
      <c r="G52" s="282"/>
      <c r="H52" s="282"/>
      <c r="I52" s="282"/>
      <c r="J52" s="24"/>
      <c r="K52" s="282"/>
      <c r="M52" s="282"/>
      <c r="N52" s="282"/>
      <c r="O52" s="282"/>
      <c r="P52" s="27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281"/>
      <c r="AD52" s="20"/>
      <c r="AF52" s="20"/>
    </row>
    <row r="53" spans="1:32" ht="18.75">
      <c r="A53" s="63" t="s">
        <v>38</v>
      </c>
      <c r="B53" s="52" t="s">
        <v>33</v>
      </c>
      <c r="C53" s="282"/>
      <c r="D53" s="282"/>
      <c r="E53" s="282"/>
      <c r="F53" s="282"/>
      <c r="G53" s="282"/>
      <c r="H53" s="282"/>
      <c r="I53" s="282"/>
      <c r="J53" s="24"/>
      <c r="K53" s="282"/>
      <c r="L53" s="282"/>
      <c r="M53" s="282"/>
      <c r="N53" s="282"/>
      <c r="O53" s="282"/>
      <c r="P53" s="282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281"/>
      <c r="AD53" s="20"/>
      <c r="AF53" s="20"/>
    </row>
    <row r="54" spans="1:32" ht="18.75">
      <c r="A54" s="63" t="s">
        <v>39</v>
      </c>
      <c r="B54" s="52" t="s">
        <v>33</v>
      </c>
      <c r="C54" s="282"/>
      <c r="D54" s="282"/>
      <c r="E54" s="282"/>
      <c r="F54" s="282"/>
      <c r="G54" s="282"/>
      <c r="H54" s="282"/>
      <c r="I54" s="282"/>
      <c r="J54" s="24"/>
      <c r="K54" s="282"/>
      <c r="L54" s="282"/>
      <c r="M54" s="282"/>
      <c r="N54" s="282"/>
      <c r="O54" s="282"/>
      <c r="P54" s="282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281"/>
      <c r="AD54" s="20"/>
      <c r="AF54" s="20"/>
    </row>
    <row r="55" spans="1:32" s="3" customFormat="1" ht="23.25" customHeight="1">
      <c r="A55" s="48" t="s">
        <v>40</v>
      </c>
      <c r="B55" s="64">
        <v>0</v>
      </c>
      <c r="C55" s="279">
        <f>SUM(D55:O55)</f>
        <v>1691096.51</v>
      </c>
      <c r="D55" s="282"/>
      <c r="E55" s="282">
        <v>20207.259999999998</v>
      </c>
      <c r="F55" s="282">
        <f>216067.67+15785.71+11768.59+80754.44+40771.74+168093.34</f>
        <v>533241.49</v>
      </c>
      <c r="G55" s="282">
        <f>15891.44+16617.37+29000.53+141712.17+22153.91</f>
        <v>225375.42</v>
      </c>
      <c r="H55" s="282">
        <f>17538.56+15341.93+13353.59+68441.52+20453.52</f>
        <v>135129.12</v>
      </c>
      <c r="I55" s="282">
        <f>14724.97+17802.06+14235.08+32520.51+19631.01</f>
        <v>98913.62999999999</v>
      </c>
      <c r="J55" s="24">
        <f>13960.92+8457.5+13072.94+30256.76+18612.39</f>
        <v>84360.51</v>
      </c>
      <c r="K55" s="282">
        <f>11035.43+14487.28+16649.44+23634.63+19314.12</f>
        <v>85120.9</v>
      </c>
      <c r="L55" s="282">
        <f>5361.96+7664.37</f>
        <v>13026.33</v>
      </c>
      <c r="M55" s="282">
        <f>3074.58+14311.19+31300.59+27262.88+19079.36</f>
        <v>95028.6</v>
      </c>
      <c r="N55" s="282">
        <f>19723.61+15965.68+33619.87+107770.95+26295.08</f>
        <v>203375.19</v>
      </c>
      <c r="O55" s="282">
        <f>23163.21+19142.64+155012.21</f>
        <v>197318.06</v>
      </c>
      <c r="P55" s="279">
        <f>SUM(Q55:AB55)</f>
        <v>1691096.51</v>
      </c>
      <c r="Q55" s="141"/>
      <c r="R55" s="141">
        <v>20207.259999999998</v>
      </c>
      <c r="S55" s="141">
        <f>216067.67+15785.71+11768.59+39982.7+40771.74+15689.63+193175.45</f>
        <v>533241.49</v>
      </c>
      <c r="T55" s="141">
        <f>15891.44+16617.37+29000.53+141712.17+22153.91</f>
        <v>225375.42</v>
      </c>
      <c r="U55" s="141">
        <f>17538.56+15341.93+13353.59+68441.52+20453.52</f>
        <v>135129.12</v>
      </c>
      <c r="V55" s="141">
        <f>17802.06+14724.97+32520.51+14235.08+19631.01</f>
        <v>98913.62999999999</v>
      </c>
      <c r="W55" s="375">
        <f>13960.92+8457.5+13072.94+30256.76+18612.39</f>
        <v>84360.51</v>
      </c>
      <c r="X55" s="141">
        <f>11035.43+14487.28+16649.44+23634.63+19314.12</f>
        <v>85120.9</v>
      </c>
      <c r="Y55" s="385">
        <f>5361.96+7664.37</f>
        <v>13026.33</v>
      </c>
      <c r="Z55" s="395">
        <f>3074.58+14311.19+31300.59+27262.88+19079.36</f>
        <v>95028.6</v>
      </c>
      <c r="AA55" s="395">
        <f>15965.68+19723.61+107770.95+33619.87+26295.08</f>
        <v>203375.19</v>
      </c>
      <c r="AB55" s="395">
        <f>23163.21+19142.64+155012.21</f>
        <v>197318.06</v>
      </c>
      <c r="AC55" s="281">
        <f>B55+C55-P55</f>
        <v>0</v>
      </c>
      <c r="AD55" s="66"/>
      <c r="AF55" s="66"/>
    </row>
    <row r="56" spans="1:32" ht="27">
      <c r="A56" s="49" t="s">
        <v>41</v>
      </c>
      <c r="B56" s="30">
        <v>0</v>
      </c>
      <c r="C56" s="279">
        <f>SUM(D56:O56)</f>
        <v>219374.26999999996</v>
      </c>
      <c r="D56" s="282"/>
      <c r="E56" s="282"/>
      <c r="F56" s="282">
        <v>9730.3700000000008</v>
      </c>
      <c r="G56" s="282">
        <f>SUM(G57:G67)</f>
        <v>10896.369999999999</v>
      </c>
      <c r="H56" s="282">
        <f>SUM(H57:H67)</f>
        <v>11083.369999999999</v>
      </c>
      <c r="I56" s="282">
        <f>8662.25+10000+6395</f>
        <v>25057.25</v>
      </c>
      <c r="J56" s="24">
        <f t="shared" ref="J56:O56" si="12">SUM(J57:J67)</f>
        <v>7663.06</v>
      </c>
      <c r="K56" s="24">
        <f t="shared" si="12"/>
        <v>26340.86</v>
      </c>
      <c r="L56" s="282">
        <f t="shared" si="12"/>
        <v>69672.319999999992</v>
      </c>
      <c r="M56" s="282">
        <f t="shared" si="12"/>
        <v>29532.500000000004</v>
      </c>
      <c r="N56" s="282">
        <f t="shared" si="12"/>
        <v>11140.27</v>
      </c>
      <c r="O56" s="282">
        <f t="shared" si="12"/>
        <v>18257.900000000001</v>
      </c>
      <c r="P56" s="279">
        <f>SUM(Q56:AB56)</f>
        <v>219973.71999999997</v>
      </c>
      <c r="Q56" s="141"/>
      <c r="R56" s="141"/>
      <c r="S56" s="141">
        <f>290+1525+3498+4417.37</f>
        <v>9730.369999999999</v>
      </c>
      <c r="T56" s="24">
        <f t="shared" ref="T56:Y56" si="13">SUM(T57:T67)</f>
        <v>10896.369999999999</v>
      </c>
      <c r="U56" s="141">
        <f t="shared" si="13"/>
        <v>11083.369999999999</v>
      </c>
      <c r="V56" s="141">
        <f t="shared" si="13"/>
        <v>25057.25</v>
      </c>
      <c r="W56" s="375">
        <f t="shared" si="13"/>
        <v>7663.06</v>
      </c>
      <c r="X56" s="141">
        <f t="shared" si="13"/>
        <v>26340.86</v>
      </c>
      <c r="Y56" s="385">
        <f t="shared" si="13"/>
        <v>69672.319999999992</v>
      </c>
      <c r="Z56" s="282">
        <f>SUM(Z57:Z67)</f>
        <v>29532.500000000004</v>
      </c>
      <c r="AA56" s="282">
        <f>SUM(AA57:AA67)</f>
        <v>11140.27</v>
      </c>
      <c r="AB56" s="282">
        <f>SUM(AB57:AB67)</f>
        <v>18857.349999999999</v>
      </c>
      <c r="AC56" s="281">
        <f>B56+C56-P56</f>
        <v>-599.45000000001164</v>
      </c>
      <c r="AD56" s="20"/>
      <c r="AE56" s="20"/>
    </row>
    <row r="57" spans="1:32" ht="18.75">
      <c r="A57" s="50" t="s">
        <v>42</v>
      </c>
      <c r="B57" s="52" t="s">
        <v>33</v>
      </c>
      <c r="C57" s="295">
        <f t="shared" ref="C57:C70" si="14">SUM(D57:O57)</f>
        <v>62000</v>
      </c>
      <c r="D57" s="300"/>
      <c r="E57" s="300"/>
      <c r="F57" s="300"/>
      <c r="G57" s="300"/>
      <c r="H57" s="300"/>
      <c r="I57" s="300"/>
      <c r="J57" s="67"/>
      <c r="K57" s="300"/>
      <c r="L57" s="300">
        <v>62000</v>
      </c>
      <c r="M57" s="300"/>
      <c r="N57" s="300"/>
      <c r="O57" s="300"/>
      <c r="P57" s="373">
        <f t="shared" ref="P57:P71" si="15">SUM(Q57:AB57)</f>
        <v>62000</v>
      </c>
      <c r="Q57" s="67"/>
      <c r="R57" s="67"/>
      <c r="S57" s="67"/>
      <c r="T57" s="67"/>
      <c r="U57" s="67"/>
      <c r="V57" s="67"/>
      <c r="W57" s="67"/>
      <c r="X57" s="67"/>
      <c r="Y57" s="300">
        <v>62000</v>
      </c>
      <c r="Z57" s="67"/>
      <c r="AA57" s="67"/>
      <c r="AB57" s="67"/>
      <c r="AC57" s="374">
        <f>C57-P57</f>
        <v>0</v>
      </c>
    </row>
    <row r="58" spans="1:32" ht="18.75">
      <c r="A58" s="50" t="s">
        <v>43</v>
      </c>
      <c r="B58" s="52" t="s">
        <v>33</v>
      </c>
      <c r="C58" s="295">
        <f t="shared" si="14"/>
        <v>13300</v>
      </c>
      <c r="D58" s="300"/>
      <c r="E58" s="300"/>
      <c r="F58" s="300"/>
      <c r="G58" s="300"/>
      <c r="H58" s="300"/>
      <c r="I58" s="300"/>
      <c r="J58" s="67"/>
      <c r="K58" s="300"/>
      <c r="L58" s="300"/>
      <c r="M58" s="374">
        <v>13300</v>
      </c>
      <c r="N58" s="300"/>
      <c r="O58" s="300"/>
      <c r="P58" s="373">
        <f t="shared" si="15"/>
        <v>13300</v>
      </c>
      <c r="Q58" s="67"/>
      <c r="R58" s="67"/>
      <c r="S58" s="67"/>
      <c r="T58" s="67"/>
      <c r="U58" s="67"/>
      <c r="V58" s="67"/>
      <c r="W58" s="67"/>
      <c r="X58" s="67"/>
      <c r="Y58" s="300"/>
      <c r="Z58" s="300">
        <v>13300</v>
      </c>
      <c r="AA58" s="67"/>
      <c r="AB58" s="67"/>
      <c r="AC58" s="374">
        <f>C58-P58</f>
        <v>0</v>
      </c>
    </row>
    <row r="59" spans="1:32" ht="18.75">
      <c r="A59" s="50" t="s">
        <v>44</v>
      </c>
      <c r="B59" s="52"/>
      <c r="C59" s="295">
        <f t="shared" si="14"/>
        <v>40572.35</v>
      </c>
      <c r="D59" s="301"/>
      <c r="E59" s="301"/>
      <c r="F59" s="301">
        <v>3498</v>
      </c>
      <c r="G59" s="301">
        <v>4664</v>
      </c>
      <c r="H59" s="301">
        <v>4851</v>
      </c>
      <c r="I59" s="301">
        <f>3872+880</f>
        <v>4752</v>
      </c>
      <c r="J59" s="371">
        <v>3872</v>
      </c>
      <c r="K59" s="372">
        <f>3872+3126.8</f>
        <v>6998.8</v>
      </c>
      <c r="L59" s="372">
        <v>2936.4</v>
      </c>
      <c r="M59" s="372">
        <v>2336.4</v>
      </c>
      <c r="N59" s="372">
        <v>2336.4</v>
      </c>
      <c r="O59" s="372">
        <f>4327.35</f>
        <v>4327.3500000000004</v>
      </c>
      <c r="P59" s="373">
        <f t="shared" si="15"/>
        <v>41171.800000000003</v>
      </c>
      <c r="Q59" s="371"/>
      <c r="R59" s="371"/>
      <c r="S59" s="371">
        <v>3498</v>
      </c>
      <c r="T59" s="371">
        <v>4664</v>
      </c>
      <c r="U59" s="371">
        <v>4851</v>
      </c>
      <c r="V59" s="371">
        <f>3872+880</f>
        <v>4752</v>
      </c>
      <c r="W59" s="371">
        <v>3872</v>
      </c>
      <c r="X59" s="53">
        <f>3872+3126.8</f>
        <v>6998.8</v>
      </c>
      <c r="Y59" s="301">
        <v>2936.4</v>
      </c>
      <c r="Z59" s="301">
        <v>2336.4</v>
      </c>
      <c r="AA59" s="53">
        <v>2336.4</v>
      </c>
      <c r="AB59" s="371">
        <v>4926.8</v>
      </c>
      <c r="AC59" s="374">
        <f>C59-P59</f>
        <v>-599.45000000000437</v>
      </c>
    </row>
    <row r="60" spans="1:32" ht="18.75">
      <c r="A60" s="50" t="s">
        <v>45</v>
      </c>
      <c r="B60" s="52"/>
      <c r="C60" s="295">
        <f t="shared" si="14"/>
        <v>43938.35</v>
      </c>
      <c r="D60" s="301"/>
      <c r="E60" s="301"/>
      <c r="F60" s="301">
        <v>4417.37</v>
      </c>
      <c r="G60" s="301">
        <v>4417.37</v>
      </c>
      <c r="H60" s="301">
        <v>4417.37</v>
      </c>
      <c r="I60" s="301">
        <v>2975.25</v>
      </c>
      <c r="J60" s="371">
        <v>3225.25</v>
      </c>
      <c r="K60" s="372">
        <v>3725.25</v>
      </c>
      <c r="L60" s="372">
        <v>3725.25</v>
      </c>
      <c r="M60" s="372">
        <v>3975.25</v>
      </c>
      <c r="N60" s="372">
        <v>3975.25</v>
      </c>
      <c r="O60" s="372">
        <f>4667.37+4417.37</f>
        <v>9084.74</v>
      </c>
      <c r="P60" s="373">
        <f t="shared" si="15"/>
        <v>43938.35</v>
      </c>
      <c r="Q60" s="371"/>
      <c r="R60" s="371"/>
      <c r="S60" s="371">
        <v>4417.37</v>
      </c>
      <c r="T60" s="371">
        <v>4417.37</v>
      </c>
      <c r="U60" s="371">
        <v>4417.37</v>
      </c>
      <c r="V60" s="371">
        <v>2975.25</v>
      </c>
      <c r="W60" s="371">
        <v>3225.25</v>
      </c>
      <c r="X60" s="53">
        <v>3725.25</v>
      </c>
      <c r="Y60" s="301">
        <v>3725.25</v>
      </c>
      <c r="Z60" s="301">
        <v>3975.25</v>
      </c>
      <c r="AA60" s="372">
        <v>3975.25</v>
      </c>
      <c r="AB60" s="371">
        <f>4667.37+4417.37</f>
        <v>9084.74</v>
      </c>
      <c r="AC60" s="374">
        <f>C60-P60</f>
        <v>0</v>
      </c>
    </row>
    <row r="61" spans="1:32" ht="18.75">
      <c r="A61" s="50" t="s">
        <v>46</v>
      </c>
      <c r="B61" s="52"/>
      <c r="C61" s="295">
        <f t="shared" si="14"/>
        <v>9279.8599999999988</v>
      </c>
      <c r="D61" s="301"/>
      <c r="E61" s="301"/>
      <c r="F61" s="301">
        <v>1525</v>
      </c>
      <c r="G61" s="301">
        <v>1525</v>
      </c>
      <c r="H61" s="301">
        <v>1525</v>
      </c>
      <c r="I61" s="301">
        <f>1525+1525</f>
        <v>3050</v>
      </c>
      <c r="J61" s="371">
        <v>275.81</v>
      </c>
      <c r="K61" s="372">
        <v>275.81</v>
      </c>
      <c r="L61" s="372">
        <v>275.81</v>
      </c>
      <c r="M61" s="372">
        <v>275.81</v>
      </c>
      <c r="N61" s="372">
        <v>275.81</v>
      </c>
      <c r="O61" s="372">
        <v>275.81</v>
      </c>
      <c r="P61" s="373">
        <f t="shared" si="15"/>
        <v>9279.8599999999988</v>
      </c>
      <c r="Q61" s="371"/>
      <c r="R61" s="371"/>
      <c r="S61" s="371">
        <v>1525</v>
      </c>
      <c r="T61" s="371">
        <v>1525</v>
      </c>
      <c r="U61" s="371">
        <v>1525</v>
      </c>
      <c r="V61" s="371">
        <f>1525+1525</f>
        <v>3050</v>
      </c>
      <c r="W61" s="371">
        <v>275.81</v>
      </c>
      <c r="X61" s="53">
        <v>275.81</v>
      </c>
      <c r="Y61" s="301">
        <v>275.81</v>
      </c>
      <c r="Z61" s="53">
        <v>275.81</v>
      </c>
      <c r="AA61" s="372">
        <v>275.81</v>
      </c>
      <c r="AB61" s="371">
        <v>275.81</v>
      </c>
      <c r="AC61" s="374">
        <f>C61-P61</f>
        <v>0</v>
      </c>
    </row>
    <row r="62" spans="1:32" ht="27">
      <c r="A62" s="50" t="s">
        <v>47</v>
      </c>
      <c r="B62" s="52" t="s">
        <v>33</v>
      </c>
      <c r="C62" s="295">
        <f t="shared" si="14"/>
        <v>3190</v>
      </c>
      <c r="D62" s="300"/>
      <c r="E62" s="300"/>
      <c r="F62" s="300">
        <v>290</v>
      </c>
      <c r="G62" s="300">
        <v>290</v>
      </c>
      <c r="H62" s="300">
        <v>290</v>
      </c>
      <c r="I62" s="300">
        <v>290</v>
      </c>
      <c r="J62" s="239">
        <v>290</v>
      </c>
      <c r="K62" s="374">
        <v>290</v>
      </c>
      <c r="L62" s="374">
        <v>290</v>
      </c>
      <c r="M62" s="374">
        <v>290</v>
      </c>
      <c r="N62" s="374">
        <v>290</v>
      </c>
      <c r="O62" s="374">
        <f>290+290</f>
        <v>580</v>
      </c>
      <c r="P62" s="373">
        <f t="shared" si="15"/>
        <v>3190</v>
      </c>
      <c r="Q62" s="239"/>
      <c r="R62" s="239"/>
      <c r="S62" s="239">
        <v>290</v>
      </c>
      <c r="T62" s="239">
        <v>290</v>
      </c>
      <c r="U62" s="239">
        <v>290</v>
      </c>
      <c r="V62" s="239">
        <v>290</v>
      </c>
      <c r="W62" s="239">
        <v>290</v>
      </c>
      <c r="X62" s="67">
        <v>290</v>
      </c>
      <c r="Y62" s="300">
        <v>290</v>
      </c>
      <c r="Z62" s="300">
        <v>290</v>
      </c>
      <c r="AA62" s="374">
        <v>290</v>
      </c>
      <c r="AB62" s="239">
        <f>290+290</f>
        <v>580</v>
      </c>
      <c r="AC62" s="388" t="s">
        <v>33</v>
      </c>
    </row>
    <row r="63" spans="1:32" ht="27.6" customHeight="1">
      <c r="A63" s="50" t="s">
        <v>156</v>
      </c>
      <c r="B63" s="52" t="s">
        <v>33</v>
      </c>
      <c r="C63" s="295">
        <f t="shared" si="14"/>
        <v>15051</v>
      </c>
      <c r="D63" s="300"/>
      <c r="E63" s="300"/>
      <c r="F63" s="300"/>
      <c r="G63" s="300"/>
      <c r="H63" s="300"/>
      <c r="I63" s="300"/>
      <c r="J63" s="67"/>
      <c r="K63" s="374">
        <v>15051</v>
      </c>
      <c r="L63" s="300"/>
      <c r="M63" s="300"/>
      <c r="N63" s="300"/>
      <c r="O63" s="300"/>
      <c r="P63" s="295">
        <f t="shared" si="15"/>
        <v>15051</v>
      </c>
      <c r="Q63" s="67"/>
      <c r="R63" s="67"/>
      <c r="S63" s="67"/>
      <c r="T63" s="67"/>
      <c r="U63" s="67"/>
      <c r="V63" s="67"/>
      <c r="W63" s="67"/>
      <c r="X63" s="67">
        <v>15051</v>
      </c>
      <c r="Y63" s="67"/>
      <c r="Z63" s="67"/>
      <c r="AA63" s="374"/>
      <c r="AB63" s="67"/>
      <c r="AC63" s="388" t="s">
        <v>33</v>
      </c>
    </row>
    <row r="64" spans="1:32" ht="21.6" customHeight="1">
      <c r="A64" s="50" t="s">
        <v>48</v>
      </c>
      <c r="B64" s="52" t="s">
        <v>33</v>
      </c>
      <c r="C64" s="295">
        <f>SUM(D64:O64)</f>
        <v>10000</v>
      </c>
      <c r="D64" s="300"/>
      <c r="E64" s="300"/>
      <c r="F64" s="300"/>
      <c r="G64" s="300"/>
      <c r="H64" s="300"/>
      <c r="I64" s="300">
        <v>10000</v>
      </c>
      <c r="J64" s="67"/>
      <c r="K64" s="300"/>
      <c r="L64" s="300"/>
      <c r="M64" s="300"/>
      <c r="N64" s="300"/>
      <c r="O64" s="300"/>
      <c r="P64" s="295">
        <f>SUM(Q64:AB64)</f>
        <v>10000</v>
      </c>
      <c r="Q64" s="67"/>
      <c r="R64" s="67"/>
      <c r="S64" s="67"/>
      <c r="T64" s="67"/>
      <c r="U64" s="67"/>
      <c r="V64" s="67">
        <v>10000</v>
      </c>
      <c r="W64" s="67"/>
      <c r="X64" s="67"/>
      <c r="Y64" s="67"/>
      <c r="Z64" s="67"/>
      <c r="AA64" s="374"/>
      <c r="AB64" s="67"/>
      <c r="AC64" s="374">
        <f>C64-P64</f>
        <v>0</v>
      </c>
    </row>
    <row r="65" spans="1:32" ht="21.6" customHeight="1">
      <c r="A65" s="50" t="s">
        <v>161</v>
      </c>
      <c r="B65" s="52" t="s">
        <v>33</v>
      </c>
      <c r="C65" s="295">
        <f t="shared" si="14"/>
        <v>4707.67</v>
      </c>
      <c r="D65" s="300"/>
      <c r="E65" s="300"/>
      <c r="F65" s="300"/>
      <c r="G65" s="300"/>
      <c r="H65" s="300"/>
      <c r="I65" s="300"/>
      <c r="J65" s="67"/>
      <c r="K65" s="300"/>
      <c r="L65" s="300">
        <v>444.86</v>
      </c>
      <c r="M65" s="300"/>
      <c r="N65" s="374">
        <v>4262.8100000000004</v>
      </c>
      <c r="O65" s="300"/>
      <c r="P65" s="295">
        <f t="shared" si="15"/>
        <v>4707.67</v>
      </c>
      <c r="Q65" s="67"/>
      <c r="R65" s="67"/>
      <c r="S65" s="67"/>
      <c r="T65" s="67"/>
      <c r="U65" s="67"/>
      <c r="V65" s="67"/>
      <c r="W65" s="67"/>
      <c r="X65" s="67"/>
      <c r="Y65" s="67">
        <v>444.86</v>
      </c>
      <c r="Z65" s="67"/>
      <c r="AA65" s="374">
        <v>4262.8100000000004</v>
      </c>
      <c r="AB65" s="67"/>
      <c r="AC65" s="374">
        <f>C65-P65</f>
        <v>0</v>
      </c>
    </row>
    <row r="66" spans="1:32" ht="21.6" customHeight="1">
      <c r="A66" s="50" t="s">
        <v>164</v>
      </c>
      <c r="B66" s="52"/>
      <c r="C66" s="295">
        <f t="shared" si="14"/>
        <v>9355.0400000000009</v>
      </c>
      <c r="D66" s="300"/>
      <c r="E66" s="300"/>
      <c r="F66" s="300"/>
      <c r="G66" s="300"/>
      <c r="H66" s="300"/>
      <c r="I66" s="300"/>
      <c r="J66" s="67"/>
      <c r="K66" s="300"/>
      <c r="L66" s="300"/>
      <c r="M66" s="300">
        <v>9355.0400000000009</v>
      </c>
      <c r="N66" s="300"/>
      <c r="O66" s="300"/>
      <c r="P66" s="295">
        <f t="shared" si="15"/>
        <v>9355.0400000000009</v>
      </c>
      <c r="Q66" s="67"/>
      <c r="R66" s="67"/>
      <c r="S66" s="67"/>
      <c r="T66" s="67"/>
      <c r="U66" s="67"/>
      <c r="V66" s="67"/>
      <c r="W66" s="67"/>
      <c r="X66" s="67"/>
      <c r="Y66" s="67"/>
      <c r="Z66" s="300">
        <v>9355.0400000000009</v>
      </c>
      <c r="AA66" s="67"/>
      <c r="AB66" s="67"/>
      <c r="AC66" s="374">
        <f>C66-P66</f>
        <v>0</v>
      </c>
    </row>
    <row r="67" spans="1:32" ht="21.6" customHeight="1">
      <c r="A67" s="50" t="s">
        <v>49</v>
      </c>
      <c r="B67" s="52" t="s">
        <v>33</v>
      </c>
      <c r="C67" s="295">
        <f t="shared" si="14"/>
        <v>7980</v>
      </c>
      <c r="D67" s="300"/>
      <c r="E67" s="300"/>
      <c r="F67" s="300"/>
      <c r="G67" s="300"/>
      <c r="H67" s="300"/>
      <c r="I67" s="300">
        <v>3990</v>
      </c>
      <c r="J67" s="67"/>
      <c r="K67" s="300"/>
      <c r="L67" s="300"/>
      <c r="M67" s="300"/>
      <c r="N67" s="300"/>
      <c r="O67" s="374">
        <v>3990</v>
      </c>
      <c r="P67" s="295">
        <f t="shared" si="15"/>
        <v>7980</v>
      </c>
      <c r="Q67" s="67"/>
      <c r="R67" s="67"/>
      <c r="S67" s="67"/>
      <c r="T67" s="67"/>
      <c r="U67" s="67"/>
      <c r="V67" s="67">
        <v>3990</v>
      </c>
      <c r="W67" s="67"/>
      <c r="X67" s="67"/>
      <c r="Y67" s="67"/>
      <c r="Z67" s="67"/>
      <c r="AA67" s="67"/>
      <c r="AB67" s="374">
        <v>3990</v>
      </c>
      <c r="AC67" s="374">
        <f>C67-P67</f>
        <v>0</v>
      </c>
    </row>
    <row r="68" spans="1:32" ht="17.25" customHeight="1">
      <c r="A68" s="49" t="s">
        <v>50</v>
      </c>
      <c r="B68" s="30"/>
      <c r="C68" s="279">
        <f t="shared" si="14"/>
        <v>75627</v>
      </c>
      <c r="D68" s="282"/>
      <c r="E68" s="282"/>
      <c r="F68" s="282">
        <f>SUM(F69:F74)</f>
        <v>2117</v>
      </c>
      <c r="G68" s="282">
        <f t="shared" ref="G68:O68" si="16">SUM(G69:G74)</f>
        <v>48257</v>
      </c>
      <c r="H68" s="282">
        <f t="shared" si="16"/>
        <v>2117</v>
      </c>
      <c r="I68" s="282">
        <f t="shared" si="16"/>
        <v>2117</v>
      </c>
      <c r="J68" s="24">
        <f t="shared" si="16"/>
        <v>2117</v>
      </c>
      <c r="K68" s="282">
        <f>SUM(K69:K74)</f>
        <v>2617</v>
      </c>
      <c r="L68" s="282">
        <f t="shared" si="16"/>
        <v>2117</v>
      </c>
      <c r="M68" s="282">
        <f t="shared" si="16"/>
        <v>2117</v>
      </c>
      <c r="N68" s="282">
        <f>SUM(N69:N74)</f>
        <v>7817</v>
      </c>
      <c r="O68" s="282">
        <f t="shared" si="16"/>
        <v>4234</v>
      </c>
      <c r="P68" s="279">
        <f t="shared" si="15"/>
        <v>75627</v>
      </c>
      <c r="Q68" s="65"/>
      <c r="R68" s="65"/>
      <c r="S68" s="65">
        <f>SUM(S69:S74)</f>
        <v>2117</v>
      </c>
      <c r="T68" s="65">
        <f t="shared" ref="T68:AB68" si="17">SUM(T69:T74)</f>
        <v>48257</v>
      </c>
      <c r="U68" s="65">
        <f t="shared" si="17"/>
        <v>2117</v>
      </c>
      <c r="V68" s="65">
        <f t="shared" si="17"/>
        <v>2117</v>
      </c>
      <c r="W68" s="369">
        <f t="shared" si="17"/>
        <v>2117</v>
      </c>
      <c r="X68" s="382">
        <f t="shared" si="17"/>
        <v>2617</v>
      </c>
      <c r="Y68" s="382">
        <f t="shared" si="17"/>
        <v>2117</v>
      </c>
      <c r="Z68" s="65">
        <f t="shared" si="17"/>
        <v>2117</v>
      </c>
      <c r="AA68" s="369">
        <f>SUM(AA69:AA74)</f>
        <v>7817</v>
      </c>
      <c r="AB68" s="65">
        <f t="shared" si="17"/>
        <v>4234</v>
      </c>
      <c r="AC68" s="282">
        <f>B68+C68-P68</f>
        <v>0</v>
      </c>
      <c r="AE68" s="20"/>
    </row>
    <row r="69" spans="1:32" ht="18.75">
      <c r="A69" s="50" t="s">
        <v>51</v>
      </c>
      <c r="B69" s="52" t="s">
        <v>33</v>
      </c>
      <c r="C69" s="278">
        <v>500</v>
      </c>
      <c r="D69" s="278"/>
      <c r="E69" s="278"/>
      <c r="F69" s="278"/>
      <c r="G69" s="278"/>
      <c r="H69" s="278"/>
      <c r="I69" s="278"/>
      <c r="J69" s="23"/>
      <c r="K69" s="278">
        <v>500</v>
      </c>
      <c r="L69" s="278"/>
      <c r="M69" s="278"/>
      <c r="N69" s="278">
        <f>4500+1200</f>
        <v>5700</v>
      </c>
      <c r="O69" s="278"/>
      <c r="P69" s="278">
        <v>500</v>
      </c>
      <c r="Q69" s="53"/>
      <c r="R69" s="53"/>
      <c r="S69" s="53"/>
      <c r="T69" s="53"/>
      <c r="U69" s="53"/>
      <c r="V69" s="53"/>
      <c r="W69" s="53"/>
      <c r="X69" s="371">
        <v>500</v>
      </c>
      <c r="Y69" s="53"/>
      <c r="Z69" s="53"/>
      <c r="AA69" s="372">
        <f>4500+1200</f>
        <v>5700</v>
      </c>
      <c r="AB69" s="53"/>
      <c r="AC69" s="54" t="s">
        <v>33</v>
      </c>
    </row>
    <row r="70" spans="1:32" ht="18.75">
      <c r="A70" s="50" t="s">
        <v>52</v>
      </c>
      <c r="B70" s="52" t="s">
        <v>33</v>
      </c>
      <c r="C70" s="295">
        <f t="shared" si="14"/>
        <v>46140</v>
      </c>
      <c r="D70" s="278"/>
      <c r="E70" s="278"/>
      <c r="F70" s="278"/>
      <c r="G70" s="278">
        <v>46140</v>
      </c>
      <c r="H70" s="278"/>
      <c r="I70" s="278"/>
      <c r="J70" s="23"/>
      <c r="K70" s="278"/>
      <c r="L70" s="278"/>
      <c r="M70" s="278"/>
      <c r="N70" s="278"/>
      <c r="O70" s="278"/>
      <c r="P70" s="295">
        <f t="shared" si="15"/>
        <v>46140</v>
      </c>
      <c r="Q70" s="53"/>
      <c r="R70" s="53"/>
      <c r="S70" s="53"/>
      <c r="T70" s="53">
        <f>5950+40190</f>
        <v>46140</v>
      </c>
      <c r="U70" s="53"/>
      <c r="V70" s="53"/>
      <c r="W70" s="53"/>
      <c r="X70" s="371"/>
      <c r="Y70" s="53"/>
      <c r="Z70" s="53"/>
      <c r="AA70" s="53"/>
      <c r="AB70" s="53"/>
      <c r="AC70" s="54" t="s">
        <v>33</v>
      </c>
    </row>
    <row r="71" spans="1:32" ht="20.25" customHeight="1">
      <c r="A71" s="50"/>
      <c r="B71" s="52" t="s">
        <v>33</v>
      </c>
      <c r="C71" s="295">
        <f>SUM(D71:O71)</f>
        <v>0</v>
      </c>
      <c r="D71" s="302"/>
      <c r="E71" s="302"/>
      <c r="F71" s="302"/>
      <c r="G71" s="302"/>
      <c r="H71" s="302"/>
      <c r="I71" s="302"/>
      <c r="J71" s="68"/>
      <c r="K71" s="302"/>
      <c r="L71" s="302"/>
      <c r="M71" s="302"/>
      <c r="N71" s="302"/>
      <c r="O71" s="302"/>
      <c r="P71" s="295">
        <f t="shared" si="15"/>
        <v>0</v>
      </c>
      <c r="Q71" s="53"/>
      <c r="R71" s="53"/>
      <c r="S71" s="53"/>
      <c r="T71" s="53"/>
      <c r="U71" s="53"/>
      <c r="V71" s="53"/>
      <c r="W71" s="53"/>
      <c r="X71" s="371"/>
      <c r="Y71" s="53"/>
      <c r="Z71" s="53"/>
      <c r="AA71" s="53"/>
      <c r="AB71" s="53"/>
      <c r="AC71" s="54" t="s">
        <v>33</v>
      </c>
    </row>
    <row r="72" spans="1:32" ht="20.25" customHeight="1">
      <c r="A72" s="50" t="s">
        <v>53</v>
      </c>
      <c r="B72" s="52" t="s">
        <v>33</v>
      </c>
      <c r="C72" s="302"/>
      <c r="D72" s="302"/>
      <c r="E72" s="302"/>
      <c r="F72" s="302"/>
      <c r="G72" s="302"/>
      <c r="H72" s="302"/>
      <c r="I72" s="302"/>
      <c r="J72" s="68"/>
      <c r="K72" s="302"/>
      <c r="L72" s="302"/>
      <c r="M72" s="302"/>
      <c r="N72" s="302"/>
      <c r="O72" s="302"/>
      <c r="P72" s="302"/>
      <c r="Q72" s="53"/>
      <c r="R72" s="53"/>
      <c r="S72" s="53"/>
      <c r="T72" s="53"/>
      <c r="U72" s="53"/>
      <c r="V72" s="53"/>
      <c r="W72" s="53"/>
      <c r="X72" s="371"/>
      <c r="Y72" s="53"/>
      <c r="Z72" s="53"/>
      <c r="AA72" s="53"/>
      <c r="AB72" s="53"/>
      <c r="AC72" s="54" t="s">
        <v>33</v>
      </c>
    </row>
    <row r="73" spans="1:32" ht="18.75" customHeight="1">
      <c r="A73" s="55" t="s">
        <v>54</v>
      </c>
      <c r="B73" s="52" t="s">
        <v>33</v>
      </c>
      <c r="C73" s="295">
        <f>SUM(D73:O73)</f>
        <v>23287</v>
      </c>
      <c r="D73" s="278"/>
      <c r="E73" s="278"/>
      <c r="F73" s="278">
        <v>2117</v>
      </c>
      <c r="G73" s="278">
        <v>2117</v>
      </c>
      <c r="H73" s="278">
        <v>2117</v>
      </c>
      <c r="I73" s="278">
        <v>2117</v>
      </c>
      <c r="J73" s="23">
        <v>2117</v>
      </c>
      <c r="K73" s="278">
        <v>2117</v>
      </c>
      <c r="L73" s="278">
        <v>2117</v>
      </c>
      <c r="M73" s="278">
        <v>2117</v>
      </c>
      <c r="N73" s="278">
        <v>2117</v>
      </c>
      <c r="O73" s="278">
        <f>2117+2117</f>
        <v>4234</v>
      </c>
      <c r="P73" s="295">
        <f>SUM(Q73:AB73)</f>
        <v>23287</v>
      </c>
      <c r="Q73" s="53"/>
      <c r="R73" s="53"/>
      <c r="S73" s="53">
        <v>2117</v>
      </c>
      <c r="T73" s="53">
        <v>2117</v>
      </c>
      <c r="U73" s="53">
        <v>2117</v>
      </c>
      <c r="V73" s="53">
        <v>2117</v>
      </c>
      <c r="W73" s="53">
        <v>2117</v>
      </c>
      <c r="X73" s="371">
        <v>2117</v>
      </c>
      <c r="Y73" s="53">
        <v>2117</v>
      </c>
      <c r="Z73" s="301">
        <v>2117</v>
      </c>
      <c r="AA73" s="372">
        <f>2117</f>
        <v>2117</v>
      </c>
      <c r="AB73" s="374">
        <f>2117+2117</f>
        <v>4234</v>
      </c>
      <c r="AC73" s="54"/>
    </row>
    <row r="74" spans="1:32" ht="19.899999999999999" customHeight="1">
      <c r="A74" s="50" t="s">
        <v>55</v>
      </c>
      <c r="B74" s="52" t="s">
        <v>33</v>
      </c>
      <c r="C74" s="278"/>
      <c r="D74" s="278"/>
      <c r="E74" s="278"/>
      <c r="F74" s="278"/>
      <c r="G74" s="278"/>
      <c r="H74" s="278"/>
      <c r="I74" s="278"/>
      <c r="J74" s="23"/>
      <c r="K74" s="278"/>
      <c r="L74" s="278"/>
      <c r="M74" s="278"/>
      <c r="N74" s="278"/>
      <c r="O74" s="278"/>
      <c r="P74" s="278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4" t="s">
        <v>33</v>
      </c>
    </row>
    <row r="75" spans="1:32" ht="15.75" hidden="1" customHeight="1">
      <c r="A75" s="50" t="s">
        <v>56</v>
      </c>
      <c r="B75" s="52" t="s">
        <v>33</v>
      </c>
      <c r="C75" s="278"/>
      <c r="D75" s="278"/>
      <c r="E75" s="278"/>
      <c r="F75" s="278"/>
      <c r="G75" s="278"/>
      <c r="H75" s="278"/>
      <c r="I75" s="278"/>
      <c r="J75" s="23"/>
      <c r="K75" s="278"/>
      <c r="L75" s="278"/>
      <c r="M75" s="278"/>
      <c r="N75" s="278"/>
      <c r="O75" s="278"/>
      <c r="P75" s="278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4" t="s">
        <v>33</v>
      </c>
    </row>
    <row r="76" spans="1:32" s="35" customFormat="1" ht="15.75" hidden="1" customHeight="1">
      <c r="A76" s="69" t="s">
        <v>38</v>
      </c>
      <c r="B76" s="52" t="s">
        <v>33</v>
      </c>
      <c r="C76" s="303"/>
      <c r="D76" s="303"/>
      <c r="E76" s="303"/>
      <c r="F76" s="303"/>
      <c r="G76" s="303"/>
      <c r="H76" s="303"/>
      <c r="I76" s="303"/>
      <c r="J76" s="56"/>
      <c r="K76" s="303"/>
      <c r="L76" s="303"/>
      <c r="M76" s="303"/>
      <c r="N76" s="303"/>
      <c r="O76" s="303"/>
      <c r="P76" s="30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4" t="s">
        <v>33</v>
      </c>
      <c r="AD76" s="34"/>
      <c r="AF76" s="34"/>
    </row>
    <row r="77" spans="1:32" ht="19.899999999999999" customHeight="1">
      <c r="A77" s="49" t="s">
        <v>57</v>
      </c>
      <c r="B77" s="30">
        <v>0</v>
      </c>
      <c r="C77" s="279">
        <f>SUM(D77:O77)</f>
        <v>1201548</v>
      </c>
      <c r="D77" s="282"/>
      <c r="E77" s="282"/>
      <c r="F77" s="282">
        <f>SUM(F79:F80)</f>
        <v>300373</v>
      </c>
      <c r="G77" s="282">
        <f t="shared" ref="G77:O77" si="18">SUM(G79:G80)</f>
        <v>7019</v>
      </c>
      <c r="H77" s="282">
        <f t="shared" si="18"/>
        <v>0</v>
      </c>
      <c r="I77" s="282">
        <f t="shared" si="18"/>
        <v>293413</v>
      </c>
      <c r="J77" s="24">
        <f>SUM(J79:J80)</f>
        <v>6979</v>
      </c>
      <c r="K77" s="282">
        <f t="shared" si="18"/>
        <v>0</v>
      </c>
      <c r="L77" s="282">
        <f t="shared" si="18"/>
        <v>293413</v>
      </c>
      <c r="M77" s="282">
        <f t="shared" si="18"/>
        <v>6940</v>
      </c>
      <c r="N77" s="282">
        <f t="shared" si="18"/>
        <v>0</v>
      </c>
      <c r="O77" s="282">
        <f t="shared" si="18"/>
        <v>293411</v>
      </c>
      <c r="P77" s="279">
        <f>SUM(Q77:AB77)</f>
        <v>1201548</v>
      </c>
      <c r="Q77" s="24"/>
      <c r="R77" s="24"/>
      <c r="S77" s="24">
        <f>SUM(S79:S80)</f>
        <v>300373</v>
      </c>
      <c r="T77" s="24">
        <f t="shared" ref="T77:AB77" si="19">SUM(T79:T80)</f>
        <v>7019</v>
      </c>
      <c r="U77" s="24">
        <f t="shared" si="19"/>
        <v>0</v>
      </c>
      <c r="V77" s="24">
        <f t="shared" si="19"/>
        <v>293413</v>
      </c>
      <c r="W77" s="24">
        <f t="shared" si="19"/>
        <v>6979</v>
      </c>
      <c r="X77" s="24">
        <f t="shared" si="19"/>
        <v>0</v>
      </c>
      <c r="Y77" s="282">
        <f t="shared" si="19"/>
        <v>293413</v>
      </c>
      <c r="Z77" s="24">
        <f t="shared" si="19"/>
        <v>6940</v>
      </c>
      <c r="AA77" s="24">
        <f t="shared" si="19"/>
        <v>0</v>
      </c>
      <c r="AB77" s="24">
        <f t="shared" si="19"/>
        <v>293411</v>
      </c>
      <c r="AC77" s="24">
        <f>B77+C77-P77</f>
        <v>0</v>
      </c>
    </row>
    <row r="78" spans="1:32" ht="8.25" hidden="1" customHeight="1">
      <c r="A78" s="50" t="s">
        <v>58</v>
      </c>
      <c r="B78" s="52" t="s">
        <v>33</v>
      </c>
      <c r="C78" s="304">
        <v>911135</v>
      </c>
      <c r="D78" s="304"/>
      <c r="E78" s="304"/>
      <c r="F78" s="304"/>
      <c r="G78" s="304"/>
      <c r="H78" s="304"/>
      <c r="I78" s="304"/>
      <c r="J78" s="70"/>
      <c r="K78" s="304"/>
      <c r="L78" s="304"/>
      <c r="M78" s="304"/>
      <c r="N78" s="304"/>
      <c r="O78" s="304"/>
      <c r="P78" s="304">
        <v>911135</v>
      </c>
      <c r="Q78" s="53"/>
      <c r="R78" s="53"/>
      <c r="S78" s="53"/>
      <c r="T78" s="53"/>
      <c r="U78" s="53"/>
      <c r="V78" s="53"/>
      <c r="W78" s="53"/>
      <c r="X78" s="53"/>
      <c r="Y78" s="301"/>
      <c r="Z78" s="53"/>
      <c r="AA78" s="53"/>
      <c r="AB78" s="53"/>
      <c r="AC78" s="54" t="s">
        <v>33</v>
      </c>
    </row>
    <row r="79" spans="1:32" ht="24" customHeight="1">
      <c r="A79" s="50" t="s">
        <v>59</v>
      </c>
      <c r="B79" s="52" t="s">
        <v>33</v>
      </c>
      <c r="C79" s="295">
        <f>SUM(D79:O79)</f>
        <v>1201548</v>
      </c>
      <c r="D79" s="278"/>
      <c r="E79" s="278"/>
      <c r="F79" s="278">
        <f>293413+6960</f>
        <v>300373</v>
      </c>
      <c r="G79" s="278">
        <v>7019</v>
      </c>
      <c r="H79" s="278"/>
      <c r="I79" s="278">
        <v>293413</v>
      </c>
      <c r="J79" s="23">
        <v>6979</v>
      </c>
      <c r="K79" s="278"/>
      <c r="L79" s="278">
        <v>293413</v>
      </c>
      <c r="M79" s="278">
        <v>6940</v>
      </c>
      <c r="N79" s="278"/>
      <c r="O79" s="278">
        <v>293411</v>
      </c>
      <c r="P79" s="295">
        <f>SUM(Q79:AB79)</f>
        <v>1201548</v>
      </c>
      <c r="Q79" s="53"/>
      <c r="R79" s="53"/>
      <c r="S79" s="67">
        <f>293413+6960</f>
        <v>300373</v>
      </c>
      <c r="T79" s="239">
        <v>7019</v>
      </c>
      <c r="U79" s="53"/>
      <c r="V79" s="53">
        <v>293413</v>
      </c>
      <c r="W79" s="371">
        <v>6979</v>
      </c>
      <c r="X79" s="53"/>
      <c r="Y79" s="301">
        <v>293413</v>
      </c>
      <c r="Z79" s="53">
        <v>6940</v>
      </c>
      <c r="AA79" s="53"/>
      <c r="AB79" s="372">
        <v>293411</v>
      </c>
      <c r="AC79" s="54" t="s">
        <v>33</v>
      </c>
    </row>
    <row r="80" spans="1:32" ht="27.75" customHeight="1">
      <c r="A80" s="50" t="s">
        <v>60</v>
      </c>
      <c r="B80" s="52" t="s">
        <v>33</v>
      </c>
      <c r="C80" s="278"/>
      <c r="D80" s="278"/>
      <c r="E80" s="278"/>
      <c r="F80" s="278"/>
      <c r="G80" s="278"/>
      <c r="H80" s="278"/>
      <c r="I80" s="278"/>
      <c r="J80" s="23"/>
      <c r="K80" s="278"/>
      <c r="L80" s="278"/>
      <c r="M80" s="278"/>
      <c r="N80" s="278"/>
      <c r="O80" s="278"/>
      <c r="P80" s="278"/>
      <c r="Q80" s="53"/>
      <c r="R80" s="53"/>
      <c r="S80" s="67"/>
      <c r="T80" s="53"/>
      <c r="U80" s="53"/>
      <c r="V80" s="53"/>
      <c r="W80" s="53"/>
      <c r="X80" s="53"/>
      <c r="Y80" s="53"/>
      <c r="Z80" s="53"/>
      <c r="AA80" s="53"/>
      <c r="AB80" s="53"/>
      <c r="AC80" s="54" t="s">
        <v>33</v>
      </c>
    </row>
    <row r="81" spans="1:32" ht="27.75" customHeight="1">
      <c r="A81" s="49" t="s">
        <v>61</v>
      </c>
      <c r="B81" s="71">
        <v>0</v>
      </c>
      <c r="C81" s="305"/>
      <c r="D81" s="305"/>
      <c r="E81" s="305"/>
      <c r="F81" s="305"/>
      <c r="G81" s="305"/>
      <c r="H81" s="305"/>
      <c r="I81" s="305"/>
      <c r="J81" s="347"/>
      <c r="K81" s="305"/>
      <c r="L81" s="305"/>
      <c r="M81" s="305"/>
      <c r="N81" s="305"/>
      <c r="O81" s="305"/>
      <c r="P81" s="305"/>
      <c r="Q81" s="54"/>
      <c r="R81" s="54"/>
      <c r="S81" s="91"/>
      <c r="T81" s="54"/>
      <c r="U81" s="54"/>
      <c r="V81" s="54"/>
      <c r="W81" s="54"/>
      <c r="X81" s="54"/>
      <c r="Y81" s="54"/>
      <c r="Z81" s="54"/>
      <c r="AA81" s="54"/>
      <c r="AB81" s="54"/>
      <c r="AC81" s="72">
        <f>B81+C81-P81</f>
        <v>0</v>
      </c>
    </row>
    <row r="82" spans="1:32" ht="30.75" customHeight="1">
      <c r="A82" s="49" t="s">
        <v>62</v>
      </c>
      <c r="B82" s="30">
        <v>0</v>
      </c>
      <c r="C82" s="279">
        <f>SUM(D82:O82)</f>
        <v>472592.98</v>
      </c>
      <c r="D82" s="282"/>
      <c r="E82" s="282"/>
      <c r="F82" s="282">
        <f>SUM(F83:F90)</f>
        <v>0</v>
      </c>
      <c r="G82" s="282">
        <f t="shared" ref="G82:O82" si="20">SUM(G83:G90)</f>
        <v>5000</v>
      </c>
      <c r="H82" s="282">
        <f t="shared" si="20"/>
        <v>0</v>
      </c>
      <c r="I82" s="282">
        <f t="shared" si="20"/>
        <v>10100</v>
      </c>
      <c r="J82" s="24">
        <f t="shared" si="20"/>
        <v>0</v>
      </c>
      <c r="K82" s="282">
        <f t="shared" si="20"/>
        <v>70275.839999999997</v>
      </c>
      <c r="L82" s="282">
        <f t="shared" si="20"/>
        <v>41616.75</v>
      </c>
      <c r="M82" s="282">
        <f t="shared" si="20"/>
        <v>90595.76</v>
      </c>
      <c r="N82" s="282">
        <f t="shared" si="20"/>
        <v>109364.44</v>
      </c>
      <c r="O82" s="282">
        <f t="shared" si="20"/>
        <v>145640.19</v>
      </c>
      <c r="P82" s="279">
        <f>SUM(Q82:AB82)</f>
        <v>406868.47000000003</v>
      </c>
      <c r="Q82" s="65"/>
      <c r="R82" s="65"/>
      <c r="S82" s="65">
        <f>SUM(S83:S90)</f>
        <v>0</v>
      </c>
      <c r="T82" s="65">
        <f t="shared" ref="T82:AB82" si="21">SUM(T83:T90)</f>
        <v>5000</v>
      </c>
      <c r="U82" s="65">
        <f t="shared" si="21"/>
        <v>0</v>
      </c>
      <c r="V82" s="65">
        <f t="shared" si="21"/>
        <v>10100</v>
      </c>
      <c r="W82" s="65">
        <f t="shared" si="21"/>
        <v>0</v>
      </c>
      <c r="X82" s="65">
        <f t="shared" si="21"/>
        <v>0</v>
      </c>
      <c r="Y82" s="382">
        <f t="shared" si="21"/>
        <v>111467.60000000003</v>
      </c>
      <c r="Z82" s="382">
        <f t="shared" si="21"/>
        <v>81784.210000000036</v>
      </c>
      <c r="AA82" s="403">
        <f t="shared" si="21"/>
        <v>116717.62000000002</v>
      </c>
      <c r="AB82" s="403">
        <f t="shared" si="21"/>
        <v>81799.039999999994</v>
      </c>
      <c r="AC82" s="282">
        <f>B82+C82-P82</f>
        <v>65724.509999999951</v>
      </c>
    </row>
    <row r="83" spans="1:32" ht="18.75">
      <c r="A83" s="50" t="s">
        <v>165</v>
      </c>
      <c r="B83" s="52" t="s">
        <v>33</v>
      </c>
      <c r="C83" s="278">
        <f>SUM(D83:O83)</f>
        <v>6000</v>
      </c>
      <c r="D83" s="278"/>
      <c r="E83" s="278"/>
      <c r="F83" s="278"/>
      <c r="G83" s="278"/>
      <c r="H83" s="278"/>
      <c r="I83" s="278"/>
      <c r="J83" s="23"/>
      <c r="K83" s="278"/>
      <c r="L83" s="278"/>
      <c r="M83" s="278"/>
      <c r="N83" s="278">
        <v>6000</v>
      </c>
      <c r="O83" s="278"/>
      <c r="P83" s="295">
        <f>SUM(Q83:AB83)</f>
        <v>6000</v>
      </c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372">
        <v>6000</v>
      </c>
      <c r="AB83" s="53"/>
      <c r="AC83" s="54" t="s">
        <v>33</v>
      </c>
    </row>
    <row r="84" spans="1:32" ht="18.75">
      <c r="A84" s="50" t="s">
        <v>147</v>
      </c>
      <c r="B84" s="52" t="s">
        <v>33</v>
      </c>
      <c r="C84" s="278">
        <f t="shared" ref="C84:C90" si="22">SUM(D84:O84)</f>
        <v>5000</v>
      </c>
      <c r="D84" s="278"/>
      <c r="E84" s="278"/>
      <c r="F84" s="278"/>
      <c r="G84" s="278">
        <v>5000</v>
      </c>
      <c r="H84" s="278"/>
      <c r="I84" s="278"/>
      <c r="J84" s="23"/>
      <c r="K84" s="278"/>
      <c r="L84" s="278"/>
      <c r="M84" s="278"/>
      <c r="N84" s="278"/>
      <c r="O84" s="278"/>
      <c r="P84" s="295">
        <f t="shared" ref="P84:P90" si="23">SUM(Q84:AB84)</f>
        <v>5000</v>
      </c>
      <c r="Q84" s="53"/>
      <c r="R84" s="53"/>
      <c r="S84" s="53"/>
      <c r="T84" s="67">
        <v>5000</v>
      </c>
      <c r="U84" s="53"/>
      <c r="V84" s="53"/>
      <c r="W84" s="53"/>
      <c r="X84" s="53"/>
      <c r="Y84" s="53"/>
      <c r="Z84" s="53"/>
      <c r="AA84" s="372"/>
      <c r="AB84" s="53"/>
      <c r="AC84" s="54" t="s">
        <v>33</v>
      </c>
    </row>
    <row r="85" spans="1:32" ht="18.75">
      <c r="A85" s="55" t="s">
        <v>63</v>
      </c>
      <c r="B85" s="52" t="s">
        <v>33</v>
      </c>
      <c r="C85" s="278">
        <f t="shared" si="22"/>
        <v>451492.98</v>
      </c>
      <c r="D85" s="302"/>
      <c r="E85" s="302"/>
      <c r="F85" s="302"/>
      <c r="G85" s="302"/>
      <c r="H85" s="302"/>
      <c r="I85" s="302"/>
      <c r="J85" s="68"/>
      <c r="K85" s="302">
        <v>70275.839999999997</v>
      </c>
      <c r="L85" s="302">
        <v>41616.75</v>
      </c>
      <c r="M85" s="302">
        <f>61331.1+29264.66</f>
        <v>90595.76</v>
      </c>
      <c r="N85" s="302">
        <f>24490.9+78873.54</f>
        <v>103364.44</v>
      </c>
      <c r="O85" s="302">
        <f>39041.75+106598.44</f>
        <v>145640.19</v>
      </c>
      <c r="P85" s="295">
        <f t="shared" si="23"/>
        <v>385768.47000000003</v>
      </c>
      <c r="Q85" s="53"/>
      <c r="R85" s="53"/>
      <c r="S85" s="53"/>
      <c r="T85" s="53"/>
      <c r="U85" s="53"/>
      <c r="V85" s="53"/>
      <c r="W85" s="53"/>
      <c r="X85" s="53"/>
      <c r="Y85" s="301">
        <f>9741.72+3213.82+6197.07+454.65+734.96+734.96+646.67+813.3+3213.66+4198.08+3700.82+2203+454.65+4376.46+734.96+2788.28+813.3+813.3+4963.13+813.3+734.96+813.3+5178.58+8816.75+331.1+1081.14+4751.2+1500+1753.07+2038.8+3830+1079.64+813.3+813.3+813.3+175+3160+813.3+813.3+860.31+3605+2788.28+1079.64+5111.37+2038.8+5064.07</f>
        <v>111467.60000000003</v>
      </c>
      <c r="Z85" s="301">
        <f>2788.28+4468.59+813.3+1363.25+813.3+1081.14+578.26+7093.67+264.87+3525.39+3962.83+813.3+813.3+813.3+528+813.3+1753.07+4406.87+2330+3118.44+813.3+5291.77+800+3041.76+813.3+676.49+813.3+676.49+229.32+5655.05+1753.07+813.3+5262.1+1905+676.49+1079.64+676.49+676.49+813.3+813.3+389.82+5295.48+676.49</f>
        <v>81784.210000000036</v>
      </c>
      <c r="AA85" s="372">
        <f>3041.76+4691.17+2038.8+7784.26+813.3+3041.76+3260+813.3+813.3+4186.63+1756.97+813.3+7754.22+813.3+813.3+813.3+175+813.3+813.3+813.3+7398.13+107.91+1848+240+5288.17+3727.15+3041.76+1756.97+2038.8+1079.64+813.3+5566.42+2367.4+2133.3+700+7364.36+1815+5666.55+6942.7+2038.8+389.82+2529.87</f>
        <v>110717.62000000002</v>
      </c>
      <c r="AB85" s="405">
        <f>6090.99+8357.78+2528+2367.4+5950.44+2718.57+4517.8+1753.07+2522.66+2580+4712.63+350+2727.44+383.13+5506.05+2107.52+7289.93+7289.93+8150.5+2021.78+1873.42</f>
        <v>81799.039999999994</v>
      </c>
      <c r="AC85" s="54" t="s">
        <v>33</v>
      </c>
      <c r="AD85" s="399">
        <f>C85-P85</f>
        <v>65724.509999999951</v>
      </c>
      <c r="AE85" s="398"/>
    </row>
    <row r="86" spans="1:32" ht="17.25" customHeight="1">
      <c r="A86" s="55" t="s">
        <v>64</v>
      </c>
      <c r="B86" s="73" t="s">
        <v>33</v>
      </c>
      <c r="C86" s="278">
        <f t="shared" si="22"/>
        <v>0</v>
      </c>
      <c r="D86" s="297"/>
      <c r="E86" s="297"/>
      <c r="F86" s="297"/>
      <c r="G86" s="297"/>
      <c r="H86" s="297"/>
      <c r="I86" s="297"/>
      <c r="J86" s="346"/>
      <c r="K86" s="297"/>
      <c r="L86" s="297"/>
      <c r="M86" s="297"/>
      <c r="N86" s="297"/>
      <c r="O86" s="297"/>
      <c r="P86" s="295">
        <f t="shared" si="23"/>
        <v>0</v>
      </c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372"/>
      <c r="AB86" s="53"/>
      <c r="AC86" s="54" t="s">
        <v>33</v>
      </c>
    </row>
    <row r="87" spans="1:32" ht="18.75">
      <c r="A87" s="55" t="s">
        <v>34</v>
      </c>
      <c r="B87" s="52" t="s">
        <v>33</v>
      </c>
      <c r="C87" s="278">
        <f t="shared" si="22"/>
        <v>0</v>
      </c>
      <c r="D87" s="302"/>
      <c r="E87" s="302"/>
      <c r="F87" s="302"/>
      <c r="G87" s="302"/>
      <c r="H87" s="302"/>
      <c r="I87" s="302"/>
      <c r="J87" s="68"/>
      <c r="K87" s="302"/>
      <c r="L87" s="302"/>
      <c r="M87" s="302"/>
      <c r="N87" s="302"/>
      <c r="O87" s="302"/>
      <c r="P87" s="295">
        <f t="shared" si="23"/>
        <v>0</v>
      </c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4" t="s">
        <v>33</v>
      </c>
    </row>
    <row r="88" spans="1:32" ht="18.2" customHeight="1">
      <c r="A88" s="55" t="s">
        <v>65</v>
      </c>
      <c r="B88" s="52" t="s">
        <v>33</v>
      </c>
      <c r="C88" s="278">
        <f t="shared" si="22"/>
        <v>0</v>
      </c>
      <c r="D88" s="306"/>
      <c r="E88" s="306"/>
      <c r="F88" s="306"/>
      <c r="G88" s="306"/>
      <c r="H88" s="306"/>
      <c r="I88" s="306"/>
      <c r="J88" s="74"/>
      <c r="K88" s="306"/>
      <c r="L88" s="306"/>
      <c r="M88" s="306"/>
      <c r="N88" s="306"/>
      <c r="O88" s="306"/>
      <c r="P88" s="295">
        <f t="shared" si="23"/>
        <v>0</v>
      </c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4" t="s">
        <v>33</v>
      </c>
    </row>
    <row r="89" spans="1:32" s="35" customFormat="1" ht="15" customHeight="1">
      <c r="A89" s="69" t="s">
        <v>66</v>
      </c>
      <c r="B89" s="52" t="s">
        <v>33</v>
      </c>
      <c r="C89" s="278">
        <f t="shared" si="22"/>
        <v>0</v>
      </c>
      <c r="D89" s="297"/>
      <c r="E89" s="297"/>
      <c r="F89" s="297"/>
      <c r="G89" s="297"/>
      <c r="H89" s="297"/>
      <c r="I89" s="297"/>
      <c r="J89" s="346"/>
      <c r="K89" s="297"/>
      <c r="L89" s="297"/>
      <c r="M89" s="297"/>
      <c r="N89" s="297"/>
      <c r="O89" s="297"/>
      <c r="P89" s="295">
        <f t="shared" si="23"/>
        <v>0</v>
      </c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75"/>
      <c r="AD89" s="34"/>
      <c r="AF89" s="34"/>
    </row>
    <row r="90" spans="1:32" s="35" customFormat="1" ht="17.25" customHeight="1">
      <c r="A90" s="69" t="s">
        <v>155</v>
      </c>
      <c r="B90" s="52" t="s">
        <v>33</v>
      </c>
      <c r="C90" s="278">
        <f t="shared" si="22"/>
        <v>10100</v>
      </c>
      <c r="D90" s="297"/>
      <c r="E90" s="297"/>
      <c r="F90" s="297"/>
      <c r="G90" s="297"/>
      <c r="H90" s="297"/>
      <c r="I90" s="297">
        <v>10100</v>
      </c>
      <c r="J90" s="346"/>
      <c r="K90" s="297"/>
      <c r="L90" s="297"/>
      <c r="M90" s="297"/>
      <c r="N90" s="297"/>
      <c r="O90" s="297"/>
      <c r="P90" s="295">
        <f t="shared" si="23"/>
        <v>10100</v>
      </c>
      <c r="Q90" s="53"/>
      <c r="R90" s="53"/>
      <c r="S90" s="53"/>
      <c r="T90" s="53"/>
      <c r="U90" s="53"/>
      <c r="V90" s="53">
        <f>1865+8235</f>
        <v>10100</v>
      </c>
      <c r="W90" s="53"/>
      <c r="X90" s="53"/>
      <c r="Y90" s="53"/>
      <c r="Z90" s="53"/>
      <c r="AA90" s="53"/>
      <c r="AB90" s="53"/>
      <c r="AC90" s="56"/>
      <c r="AD90" s="34"/>
      <c r="AF90" s="34"/>
    </row>
    <row r="91" spans="1:32" ht="18" customHeight="1">
      <c r="A91" s="128" t="s">
        <v>67</v>
      </c>
      <c r="B91" s="129">
        <f>B48+B49+B50+B52+B56+B68+B77+B81+B82+B55</f>
        <v>0</v>
      </c>
      <c r="C91" s="307">
        <f t="shared" ref="C91:AB91" si="24">C48+C49+C50+C55+C56+C68+C77+C82</f>
        <v>5946603.0599999987</v>
      </c>
      <c r="D91" s="307">
        <f t="shared" si="24"/>
        <v>28602.05</v>
      </c>
      <c r="E91" s="307">
        <f t="shared" si="24"/>
        <v>225665.1</v>
      </c>
      <c r="F91" s="307">
        <f t="shared" si="24"/>
        <v>1028732.03</v>
      </c>
      <c r="G91" s="307">
        <f t="shared" si="24"/>
        <v>457807.39</v>
      </c>
      <c r="H91" s="307">
        <f t="shared" si="24"/>
        <v>319323.81</v>
      </c>
      <c r="I91" s="307">
        <f t="shared" si="24"/>
        <v>615879.29</v>
      </c>
      <c r="J91" s="130">
        <f t="shared" si="24"/>
        <v>364982.24</v>
      </c>
      <c r="K91" s="307">
        <f t="shared" si="24"/>
        <v>348492.69999999995</v>
      </c>
      <c r="L91" s="307">
        <f t="shared" si="24"/>
        <v>527973.84</v>
      </c>
      <c r="M91" s="307">
        <f t="shared" si="24"/>
        <v>430913.86</v>
      </c>
      <c r="N91" s="307">
        <f t="shared" si="24"/>
        <v>600791.93999999994</v>
      </c>
      <c r="O91" s="307">
        <f t="shared" si="24"/>
        <v>997438.81</v>
      </c>
      <c r="P91" s="307">
        <f t="shared" si="24"/>
        <v>5790570.0799999991</v>
      </c>
      <c r="Q91" s="130">
        <f t="shared" si="24"/>
        <v>29018.65</v>
      </c>
      <c r="R91" s="130">
        <f t="shared" si="24"/>
        <v>218724.88999999998</v>
      </c>
      <c r="S91" s="130">
        <f>S48+S49+S50+S55+S56+S68+S77+S82</f>
        <v>1000366.5399999999</v>
      </c>
      <c r="T91" s="130">
        <f t="shared" si="24"/>
        <v>483396.69</v>
      </c>
      <c r="U91" s="130">
        <f t="shared" si="24"/>
        <v>325962.81</v>
      </c>
      <c r="V91" s="130">
        <f t="shared" si="24"/>
        <v>605785.51</v>
      </c>
      <c r="W91" s="130">
        <f t="shared" si="24"/>
        <v>368525.86</v>
      </c>
      <c r="X91" s="130">
        <f t="shared" si="24"/>
        <v>251648.65999999997</v>
      </c>
      <c r="Y91" s="307">
        <f t="shared" si="24"/>
        <v>616085.15</v>
      </c>
      <c r="Z91" s="307">
        <f t="shared" si="24"/>
        <v>383673.26000000007</v>
      </c>
      <c r="AA91" s="307">
        <f t="shared" si="24"/>
        <v>516594.26</v>
      </c>
      <c r="AB91" s="307">
        <f t="shared" si="24"/>
        <v>990787.79999999993</v>
      </c>
      <c r="AC91" s="307">
        <f>AC48+AC49+AC50+AC55+AC56+AC68+AC77+AC82</f>
        <v>156032.98000000004</v>
      </c>
      <c r="AD91" s="20">
        <f>B91+C91-P91</f>
        <v>156032.97999999952</v>
      </c>
    </row>
    <row r="92" spans="1:32" s="76" customFormat="1" ht="24" hidden="1" customHeight="1">
      <c r="A92" s="126" t="s">
        <v>68</v>
      </c>
      <c r="B92" s="126"/>
      <c r="C92" s="308"/>
      <c r="D92" s="308"/>
      <c r="E92" s="308"/>
      <c r="F92" s="308"/>
      <c r="G92" s="308"/>
      <c r="H92" s="308"/>
      <c r="I92" s="308"/>
      <c r="J92" s="348"/>
      <c r="K92" s="308"/>
      <c r="L92" s="308"/>
      <c r="M92" s="308"/>
      <c r="N92" s="308"/>
      <c r="O92" s="308"/>
      <c r="P92" s="308"/>
      <c r="Q92" s="126"/>
      <c r="R92" s="126"/>
      <c r="S92" s="126"/>
      <c r="T92" s="126"/>
      <c r="U92" s="126"/>
      <c r="V92" s="126"/>
      <c r="W92" s="348"/>
      <c r="X92" s="126"/>
      <c r="Y92" s="126"/>
      <c r="Z92" s="126"/>
      <c r="AA92" s="126"/>
      <c r="AB92" s="126"/>
      <c r="AC92" s="126"/>
    </row>
    <row r="93" spans="1:32" s="76" customFormat="1" ht="39" hidden="1" customHeight="1">
      <c r="A93" s="77" t="s">
        <v>69</v>
      </c>
      <c r="B93" s="78">
        <v>0</v>
      </c>
      <c r="C93" s="309">
        <v>0</v>
      </c>
      <c r="D93" s="309"/>
      <c r="E93" s="309"/>
      <c r="F93" s="309"/>
      <c r="G93" s="309"/>
      <c r="H93" s="309"/>
      <c r="I93" s="309"/>
      <c r="J93" s="349"/>
      <c r="K93" s="309"/>
      <c r="L93" s="309"/>
      <c r="M93" s="309"/>
      <c r="N93" s="309"/>
      <c r="O93" s="309"/>
      <c r="P93" s="309">
        <v>0</v>
      </c>
      <c r="Q93" s="78"/>
      <c r="R93" s="78"/>
      <c r="S93" s="78"/>
      <c r="T93" s="78"/>
      <c r="U93" s="78"/>
      <c r="V93" s="78"/>
      <c r="W93" s="349"/>
      <c r="X93" s="78"/>
      <c r="Y93" s="78"/>
      <c r="Z93" s="78"/>
      <c r="AA93" s="78"/>
      <c r="AB93" s="78"/>
      <c r="AC93" s="79">
        <f t="shared" ref="AC93:AC100" si="25">B93+C93-P93</f>
        <v>0</v>
      </c>
    </row>
    <row r="94" spans="1:32" s="76" customFormat="1" ht="15" hidden="1" customHeight="1">
      <c r="A94" s="80" t="s">
        <v>70</v>
      </c>
      <c r="B94" s="81"/>
      <c r="C94" s="310"/>
      <c r="D94" s="310"/>
      <c r="E94" s="310"/>
      <c r="F94" s="310"/>
      <c r="G94" s="310"/>
      <c r="H94" s="310"/>
      <c r="I94" s="310"/>
      <c r="J94" s="350"/>
      <c r="K94" s="310"/>
      <c r="L94" s="310"/>
      <c r="M94" s="310"/>
      <c r="N94" s="310"/>
      <c r="O94" s="310"/>
      <c r="P94" s="310"/>
      <c r="Q94" s="81"/>
      <c r="R94" s="81"/>
      <c r="S94" s="81"/>
      <c r="T94" s="81"/>
      <c r="U94" s="81"/>
      <c r="V94" s="81"/>
      <c r="W94" s="350"/>
      <c r="X94" s="81"/>
      <c r="Y94" s="81"/>
      <c r="Z94" s="81"/>
      <c r="AA94" s="81"/>
      <c r="AB94" s="81"/>
      <c r="AC94" s="79">
        <f t="shared" si="25"/>
        <v>0</v>
      </c>
    </row>
    <row r="95" spans="1:32" s="76" customFormat="1" ht="28.5" hidden="1" customHeight="1">
      <c r="A95" s="80" t="s">
        <v>71</v>
      </c>
      <c r="B95" s="81"/>
      <c r="C95" s="310"/>
      <c r="D95" s="310"/>
      <c r="E95" s="310"/>
      <c r="F95" s="310"/>
      <c r="G95" s="310"/>
      <c r="H95" s="310"/>
      <c r="I95" s="310"/>
      <c r="J95" s="350"/>
      <c r="K95" s="310"/>
      <c r="L95" s="310"/>
      <c r="M95" s="310"/>
      <c r="N95" s="310"/>
      <c r="O95" s="310"/>
      <c r="P95" s="310"/>
      <c r="Q95" s="81"/>
      <c r="R95" s="81"/>
      <c r="S95" s="81"/>
      <c r="T95" s="81"/>
      <c r="U95" s="81"/>
      <c r="V95" s="81"/>
      <c r="W95" s="350"/>
      <c r="X95" s="81"/>
      <c r="Y95" s="81"/>
      <c r="Z95" s="81"/>
      <c r="AA95" s="81"/>
      <c r="AB95" s="81"/>
      <c r="AC95" s="79">
        <f t="shared" si="25"/>
        <v>0</v>
      </c>
    </row>
    <row r="96" spans="1:32" s="35" customFormat="1" ht="26.25" hidden="1">
      <c r="A96" s="80" t="s">
        <v>72</v>
      </c>
      <c r="B96" s="82"/>
      <c r="C96" s="311"/>
      <c r="D96" s="311"/>
      <c r="E96" s="311"/>
      <c r="F96" s="311"/>
      <c r="G96" s="311"/>
      <c r="H96" s="311"/>
      <c r="I96" s="311"/>
      <c r="J96" s="351"/>
      <c r="K96" s="311"/>
      <c r="L96" s="311"/>
      <c r="M96" s="311"/>
      <c r="N96" s="311"/>
      <c r="O96" s="311"/>
      <c r="P96" s="311"/>
      <c r="Q96" s="82"/>
      <c r="R96" s="82"/>
      <c r="S96" s="82"/>
      <c r="T96" s="82"/>
      <c r="U96" s="82"/>
      <c r="V96" s="82"/>
      <c r="W96" s="351"/>
      <c r="X96" s="82"/>
      <c r="Y96" s="82"/>
      <c r="Z96" s="82"/>
      <c r="AA96" s="82"/>
      <c r="AB96" s="82"/>
      <c r="AC96" s="79">
        <f t="shared" si="25"/>
        <v>0</v>
      </c>
      <c r="AD96" s="34"/>
      <c r="AF96" s="34"/>
    </row>
    <row r="97" spans="1:33" s="35" customFormat="1" ht="26.25" hidden="1">
      <c r="A97" s="80" t="s">
        <v>73</v>
      </c>
      <c r="B97" s="82"/>
      <c r="C97" s="311"/>
      <c r="D97" s="311"/>
      <c r="E97" s="311"/>
      <c r="F97" s="311"/>
      <c r="G97" s="311"/>
      <c r="H97" s="311"/>
      <c r="I97" s="311"/>
      <c r="J97" s="351"/>
      <c r="K97" s="311"/>
      <c r="L97" s="311"/>
      <c r="M97" s="311"/>
      <c r="N97" s="311"/>
      <c r="O97" s="311"/>
      <c r="P97" s="311"/>
      <c r="Q97" s="82"/>
      <c r="R97" s="82"/>
      <c r="S97" s="82"/>
      <c r="T97" s="82"/>
      <c r="U97" s="82"/>
      <c r="V97" s="82"/>
      <c r="W97" s="351"/>
      <c r="X97" s="82"/>
      <c r="Y97" s="82"/>
      <c r="Z97" s="82"/>
      <c r="AA97" s="82"/>
      <c r="AB97" s="82"/>
      <c r="AC97" s="79">
        <f t="shared" si="25"/>
        <v>0</v>
      </c>
      <c r="AD97" s="34"/>
      <c r="AF97" s="34"/>
    </row>
    <row r="98" spans="1:33" s="35" customFormat="1" ht="26.25" hidden="1">
      <c r="A98" s="80" t="s">
        <v>74</v>
      </c>
      <c r="B98" s="82"/>
      <c r="C98" s="311"/>
      <c r="D98" s="311"/>
      <c r="E98" s="311"/>
      <c r="F98" s="311"/>
      <c r="G98" s="311"/>
      <c r="H98" s="311"/>
      <c r="I98" s="311"/>
      <c r="J98" s="351"/>
      <c r="K98" s="311"/>
      <c r="L98" s="311"/>
      <c r="M98" s="311"/>
      <c r="N98" s="311"/>
      <c r="O98" s="311"/>
      <c r="P98" s="311"/>
      <c r="Q98" s="82"/>
      <c r="R98" s="82"/>
      <c r="S98" s="82"/>
      <c r="T98" s="82"/>
      <c r="U98" s="82"/>
      <c r="V98" s="82"/>
      <c r="W98" s="351"/>
      <c r="X98" s="82"/>
      <c r="Y98" s="82"/>
      <c r="Z98" s="82"/>
      <c r="AA98" s="82"/>
      <c r="AB98" s="82"/>
      <c r="AC98" s="79">
        <f t="shared" si="25"/>
        <v>0</v>
      </c>
      <c r="AD98" s="34"/>
      <c r="AF98" s="34"/>
    </row>
    <row r="99" spans="1:33" s="35" customFormat="1" ht="26.25" hidden="1">
      <c r="A99" s="80" t="s">
        <v>75</v>
      </c>
      <c r="B99" s="82"/>
      <c r="C99" s="311"/>
      <c r="D99" s="311"/>
      <c r="E99" s="311"/>
      <c r="F99" s="311"/>
      <c r="G99" s="311"/>
      <c r="H99" s="311"/>
      <c r="I99" s="311"/>
      <c r="J99" s="351"/>
      <c r="K99" s="311"/>
      <c r="L99" s="311"/>
      <c r="M99" s="311"/>
      <c r="N99" s="311"/>
      <c r="O99" s="311"/>
      <c r="P99" s="311"/>
      <c r="Q99" s="82"/>
      <c r="R99" s="82"/>
      <c r="S99" s="82"/>
      <c r="T99" s="82"/>
      <c r="U99" s="82"/>
      <c r="V99" s="82"/>
      <c r="W99" s="351"/>
      <c r="X99" s="82"/>
      <c r="Y99" s="82"/>
      <c r="Z99" s="82"/>
      <c r="AA99" s="82"/>
      <c r="AB99" s="82"/>
      <c r="AC99" s="79">
        <f t="shared" si="25"/>
        <v>0</v>
      </c>
      <c r="AD99" s="34"/>
      <c r="AF99" s="34"/>
    </row>
    <row r="100" spans="1:33" s="35" customFormat="1" ht="10.7" hidden="1" customHeight="1">
      <c r="A100" s="80" t="s">
        <v>76</v>
      </c>
      <c r="B100" s="82"/>
      <c r="C100" s="311"/>
      <c r="D100" s="311"/>
      <c r="E100" s="311"/>
      <c r="F100" s="311"/>
      <c r="G100" s="311"/>
      <c r="H100" s="311"/>
      <c r="I100" s="311"/>
      <c r="J100" s="351"/>
      <c r="K100" s="311"/>
      <c r="L100" s="311"/>
      <c r="M100" s="311"/>
      <c r="N100" s="311"/>
      <c r="O100" s="311"/>
      <c r="P100" s="311"/>
      <c r="Q100" s="82"/>
      <c r="R100" s="82"/>
      <c r="S100" s="82"/>
      <c r="T100" s="82"/>
      <c r="U100" s="82"/>
      <c r="V100" s="82"/>
      <c r="W100" s="351"/>
      <c r="X100" s="82"/>
      <c r="Y100" s="82"/>
      <c r="Z100" s="82"/>
      <c r="AA100" s="82"/>
      <c r="AB100" s="82"/>
      <c r="AC100" s="79">
        <f t="shared" si="25"/>
        <v>0</v>
      </c>
      <c r="AD100" s="34"/>
      <c r="AF100" s="34"/>
    </row>
    <row r="101" spans="1:33" s="35" customFormat="1" ht="20.65" hidden="1" customHeight="1">
      <c r="A101" s="83" t="s">
        <v>77</v>
      </c>
      <c r="B101" s="84">
        <f>B93+B95+B96+B97+B98+B99+B100+B94</f>
        <v>0</v>
      </c>
      <c r="C101" s="312">
        <f>C93+C95+C96+C97+C98+C99+C100+C94</f>
        <v>0</v>
      </c>
      <c r="D101" s="312"/>
      <c r="E101" s="312"/>
      <c r="F101" s="312"/>
      <c r="G101" s="312"/>
      <c r="H101" s="312"/>
      <c r="I101" s="312"/>
      <c r="J101" s="352"/>
      <c r="K101" s="312"/>
      <c r="L101" s="312"/>
      <c r="M101" s="312"/>
      <c r="N101" s="312"/>
      <c r="O101" s="312"/>
      <c r="P101" s="312">
        <f>P93+P95+P96+P97+P98+P99+P100+P94</f>
        <v>0</v>
      </c>
      <c r="Q101" s="84"/>
      <c r="R101" s="84"/>
      <c r="S101" s="84"/>
      <c r="T101" s="84"/>
      <c r="U101" s="84"/>
      <c r="V101" s="84"/>
      <c r="W101" s="352"/>
      <c r="X101" s="84"/>
      <c r="Y101" s="84"/>
      <c r="Z101" s="84"/>
      <c r="AA101" s="84"/>
      <c r="AB101" s="84"/>
      <c r="AC101" s="84">
        <f>AC93+AC95+AC96+AC97+AC98+AC99+AC100+AC94</f>
        <v>0</v>
      </c>
      <c r="AD101" s="34"/>
      <c r="AF101" s="34"/>
    </row>
    <row r="102" spans="1:33" ht="28.35" customHeight="1">
      <c r="A102" s="85" t="s">
        <v>78</v>
      </c>
      <c r="B102" s="86"/>
      <c r="C102" s="313"/>
      <c r="D102" s="313"/>
      <c r="E102" s="313"/>
      <c r="F102" s="313"/>
      <c r="G102" s="313"/>
      <c r="H102" s="313"/>
      <c r="I102" s="313"/>
      <c r="J102" s="353"/>
      <c r="K102" s="313"/>
      <c r="L102" s="313"/>
      <c r="M102" s="313"/>
      <c r="N102" s="313"/>
      <c r="O102" s="313"/>
      <c r="P102" s="313"/>
      <c r="Q102" s="86"/>
      <c r="R102" s="86"/>
      <c r="S102" s="86"/>
      <c r="T102" s="86"/>
      <c r="U102" s="86"/>
      <c r="V102" s="86"/>
      <c r="W102" s="353"/>
      <c r="X102" s="86"/>
      <c r="Y102" s="86"/>
      <c r="Z102" s="86"/>
      <c r="AA102" s="86"/>
      <c r="AB102" s="86"/>
      <c r="AC102" s="87"/>
    </row>
    <row r="103" spans="1:33" ht="18.75" customHeight="1">
      <c r="A103" s="48" t="s">
        <v>79</v>
      </c>
      <c r="B103" s="48"/>
      <c r="C103" s="314"/>
      <c r="D103" s="314"/>
      <c r="E103" s="314"/>
      <c r="F103" s="314"/>
      <c r="G103" s="314"/>
      <c r="H103" s="314"/>
      <c r="I103" s="314"/>
      <c r="J103" s="96"/>
      <c r="K103" s="314"/>
      <c r="L103" s="314"/>
      <c r="M103" s="314"/>
      <c r="N103" s="314"/>
      <c r="O103" s="314"/>
      <c r="P103" s="314"/>
      <c r="Q103" s="48"/>
      <c r="R103" s="48"/>
      <c r="S103" s="48"/>
      <c r="T103" s="48"/>
      <c r="U103" s="48"/>
      <c r="V103" s="48"/>
      <c r="W103" s="96"/>
      <c r="X103" s="48"/>
      <c r="Y103" s="48"/>
      <c r="Z103" s="48"/>
      <c r="AA103" s="48"/>
      <c r="AB103" s="48"/>
      <c r="AC103" s="48"/>
    </row>
    <row r="104" spans="1:33" ht="27">
      <c r="A104" s="49" t="s">
        <v>80</v>
      </c>
      <c r="B104" s="30">
        <v>0</v>
      </c>
      <c r="C104" s="279">
        <f>SUM(D104:O104)</f>
        <v>56490</v>
      </c>
      <c r="D104" s="282"/>
      <c r="E104" s="282"/>
      <c r="F104" s="282">
        <f t="shared" ref="F104:K104" si="26">SUM(F105:F114)</f>
        <v>0</v>
      </c>
      <c r="G104" s="282">
        <f t="shared" si="26"/>
        <v>2530</v>
      </c>
      <c r="H104" s="282">
        <f t="shared" si="26"/>
        <v>2530</v>
      </c>
      <c r="I104" s="282">
        <f t="shared" si="26"/>
        <v>13480</v>
      </c>
      <c r="J104" s="24">
        <f t="shared" si="26"/>
        <v>8830</v>
      </c>
      <c r="K104" s="24">
        <f t="shared" si="26"/>
        <v>2530</v>
      </c>
      <c r="L104" s="282">
        <f>SUM(L105:L114)</f>
        <v>2530</v>
      </c>
      <c r="M104" s="282">
        <f>SUM(M105:M114)</f>
        <v>10020</v>
      </c>
      <c r="N104" s="282">
        <f>SUM(N105:N114)</f>
        <v>8980</v>
      </c>
      <c r="O104" s="282">
        <f>SUM(O105:O114)</f>
        <v>5060</v>
      </c>
      <c r="P104" s="279">
        <f>SUM(Q104:AB104)</f>
        <v>56490</v>
      </c>
      <c r="Q104" s="24"/>
      <c r="R104" s="24"/>
      <c r="S104" s="24">
        <f>SUM(S105:S114)</f>
        <v>0</v>
      </c>
      <c r="T104" s="24">
        <f t="shared" ref="T104:AB104" si="27">SUM(T105:T114)</f>
        <v>2530</v>
      </c>
      <c r="U104" s="24">
        <f t="shared" si="27"/>
        <v>2530</v>
      </c>
      <c r="V104" s="24">
        <f t="shared" si="27"/>
        <v>13480</v>
      </c>
      <c r="W104" s="24">
        <f t="shared" si="27"/>
        <v>8830</v>
      </c>
      <c r="X104" s="24">
        <f t="shared" si="27"/>
        <v>2530</v>
      </c>
      <c r="Y104" s="24">
        <f t="shared" si="27"/>
        <v>2530</v>
      </c>
      <c r="Z104" s="24">
        <f t="shared" si="27"/>
        <v>10020</v>
      </c>
      <c r="AA104" s="24">
        <f t="shared" si="27"/>
        <v>8980</v>
      </c>
      <c r="AB104" s="24">
        <f t="shared" si="27"/>
        <v>5060</v>
      </c>
      <c r="AC104" s="282">
        <f>B104+C104-P104</f>
        <v>0</v>
      </c>
      <c r="AE104" s="88"/>
      <c r="AF104" s="88"/>
      <c r="AG104" s="88"/>
    </row>
    <row r="105" spans="1:33" ht="21" customHeight="1">
      <c r="A105" s="50" t="s">
        <v>81</v>
      </c>
      <c r="B105" s="52" t="s">
        <v>33</v>
      </c>
      <c r="C105" s="304"/>
      <c r="D105" s="304"/>
      <c r="E105" s="304"/>
      <c r="F105" s="304"/>
      <c r="G105" s="304"/>
      <c r="H105" s="304"/>
      <c r="I105" s="304"/>
      <c r="J105" s="70"/>
      <c r="K105" s="304"/>
      <c r="L105" s="304"/>
      <c r="M105" s="304"/>
      <c r="N105" s="304"/>
      <c r="O105" s="304"/>
      <c r="P105" s="304"/>
      <c r="Q105" s="53"/>
      <c r="R105" s="53"/>
      <c r="S105" s="53"/>
      <c r="T105" s="67"/>
      <c r="U105" s="53"/>
      <c r="V105" s="53"/>
      <c r="W105" s="53"/>
      <c r="X105" s="53"/>
      <c r="Y105" s="390"/>
      <c r="Z105" s="53"/>
      <c r="AA105" s="53"/>
      <c r="AB105" s="53"/>
      <c r="AC105" s="54" t="s">
        <v>33</v>
      </c>
      <c r="AE105" s="88"/>
      <c r="AF105" s="88"/>
      <c r="AG105" s="89"/>
    </row>
    <row r="106" spans="1:33" ht="22.5" customHeight="1">
      <c r="A106" s="50" t="s">
        <v>82</v>
      </c>
      <c r="B106" s="52" t="s">
        <v>33</v>
      </c>
      <c r="C106" s="302"/>
      <c r="D106" s="302"/>
      <c r="E106" s="302"/>
      <c r="F106" s="302"/>
      <c r="G106" s="302"/>
      <c r="H106" s="302"/>
      <c r="I106" s="302"/>
      <c r="J106" s="68"/>
      <c r="K106" s="302"/>
      <c r="L106" s="302"/>
      <c r="M106" s="302"/>
      <c r="N106" s="302"/>
      <c r="O106" s="302"/>
      <c r="P106" s="302"/>
      <c r="Q106" s="53"/>
      <c r="R106" s="53"/>
      <c r="S106" s="53"/>
      <c r="T106" s="67"/>
      <c r="U106" s="53"/>
      <c r="V106" s="53"/>
      <c r="W106" s="371"/>
      <c r="X106" s="53"/>
      <c r="Y106" s="390"/>
      <c r="Z106" s="53"/>
      <c r="AA106" s="53"/>
      <c r="AB106" s="53"/>
      <c r="AC106" s="54" t="s">
        <v>33</v>
      </c>
      <c r="AE106" s="88"/>
      <c r="AF106" s="88"/>
      <c r="AG106" s="89"/>
    </row>
    <row r="107" spans="1:33" ht="27">
      <c r="A107" s="50" t="s">
        <v>83</v>
      </c>
      <c r="B107" s="52" t="s">
        <v>33</v>
      </c>
      <c r="C107" s="295">
        <f>SUM(D107:O107)</f>
        <v>5800</v>
      </c>
      <c r="D107" s="278"/>
      <c r="E107" s="278"/>
      <c r="F107" s="278"/>
      <c r="G107" s="278">
        <v>580</v>
      </c>
      <c r="H107" s="278">
        <v>580</v>
      </c>
      <c r="I107" s="278">
        <v>580</v>
      </c>
      <c r="J107" s="23">
        <v>580</v>
      </c>
      <c r="K107" s="278">
        <v>580</v>
      </c>
      <c r="L107" s="278">
        <v>580</v>
      </c>
      <c r="M107" s="278">
        <v>580</v>
      </c>
      <c r="N107" s="278">
        <v>580</v>
      </c>
      <c r="O107" s="278">
        <f>580+580</f>
        <v>1160</v>
      </c>
      <c r="P107" s="295">
        <f t="shared" ref="P107:P113" si="28">SUM(Q107:AB107)</f>
        <v>5800</v>
      </c>
      <c r="Q107" s="53"/>
      <c r="R107" s="53"/>
      <c r="S107" s="53"/>
      <c r="T107" s="67">
        <v>580</v>
      </c>
      <c r="U107" s="53">
        <v>580</v>
      </c>
      <c r="V107" s="53">
        <v>580</v>
      </c>
      <c r="W107" s="371">
        <v>580</v>
      </c>
      <c r="X107" s="53">
        <v>580</v>
      </c>
      <c r="Y107" s="391">
        <v>580</v>
      </c>
      <c r="Z107" s="372">
        <v>580</v>
      </c>
      <c r="AA107" s="402">
        <v>580</v>
      </c>
      <c r="AB107" s="53">
        <f>580+580</f>
        <v>1160</v>
      </c>
      <c r="AC107" s="54" t="s">
        <v>33</v>
      </c>
      <c r="AE107" s="88"/>
      <c r="AF107" s="88"/>
      <c r="AG107" s="89"/>
    </row>
    <row r="108" spans="1:33" ht="18.75">
      <c r="A108" s="50" t="s">
        <v>84</v>
      </c>
      <c r="B108" s="52" t="s">
        <v>33</v>
      </c>
      <c r="C108" s="295">
        <f>SUM(D108:O108)</f>
        <v>0</v>
      </c>
      <c r="D108" s="278"/>
      <c r="E108" s="278"/>
      <c r="F108" s="278"/>
      <c r="G108" s="278"/>
      <c r="H108" s="278"/>
      <c r="I108" s="278"/>
      <c r="J108" s="23"/>
      <c r="K108" s="278"/>
      <c r="L108" s="278"/>
      <c r="M108" s="278"/>
      <c r="N108" s="278"/>
      <c r="O108" s="278"/>
      <c r="P108" s="295">
        <f t="shared" si="28"/>
        <v>0</v>
      </c>
      <c r="Q108" s="53"/>
      <c r="R108" s="53"/>
      <c r="S108" s="53"/>
      <c r="T108" s="67"/>
      <c r="U108" s="53"/>
      <c r="V108" s="53"/>
      <c r="W108" s="371"/>
      <c r="X108" s="53"/>
      <c r="Y108" s="390"/>
      <c r="Z108" s="372"/>
      <c r="AA108" s="402"/>
      <c r="AB108" s="53"/>
      <c r="AC108" s="54" t="s">
        <v>33</v>
      </c>
      <c r="AE108" s="88"/>
      <c r="AF108" s="88"/>
      <c r="AG108" s="89"/>
    </row>
    <row r="109" spans="1:33" ht="18.75">
      <c r="A109" s="50" t="s">
        <v>85</v>
      </c>
      <c r="B109" s="52" t="s">
        <v>33</v>
      </c>
      <c r="C109" s="295">
        <f>SUM(D109:O109)</f>
        <v>7490</v>
      </c>
      <c r="D109" s="278"/>
      <c r="E109" s="278"/>
      <c r="F109" s="278"/>
      <c r="G109" s="278"/>
      <c r="H109" s="278"/>
      <c r="I109" s="278"/>
      <c r="J109" s="23"/>
      <c r="K109" s="278"/>
      <c r="L109" s="278"/>
      <c r="M109" s="278">
        <v>7490</v>
      </c>
      <c r="N109" s="278"/>
      <c r="O109" s="278"/>
      <c r="P109" s="295">
        <f t="shared" si="28"/>
        <v>7490</v>
      </c>
      <c r="Q109" s="53"/>
      <c r="R109" s="53"/>
      <c r="S109" s="53"/>
      <c r="T109" s="67"/>
      <c r="U109" s="53"/>
      <c r="V109" s="53"/>
      <c r="W109" s="371"/>
      <c r="X109" s="53"/>
      <c r="Y109" s="390"/>
      <c r="Z109" s="372">
        <v>7490</v>
      </c>
      <c r="AA109" s="402"/>
      <c r="AB109" s="53"/>
      <c r="AC109" s="54" t="s">
        <v>33</v>
      </c>
      <c r="AE109" s="88"/>
      <c r="AF109" s="88"/>
      <c r="AG109" s="89"/>
    </row>
    <row r="110" spans="1:33" ht="39" customHeight="1">
      <c r="A110" s="50" t="s">
        <v>154</v>
      </c>
      <c r="B110" s="52" t="s">
        <v>33</v>
      </c>
      <c r="C110" s="295">
        <f>SUM(D110:O110)</f>
        <v>17400</v>
      </c>
      <c r="D110" s="278"/>
      <c r="E110" s="278"/>
      <c r="F110" s="278"/>
      <c r="G110" s="278"/>
      <c r="H110" s="278"/>
      <c r="I110" s="278">
        <v>10950</v>
      </c>
      <c r="J110" s="23"/>
      <c r="K110" s="278"/>
      <c r="L110" s="278"/>
      <c r="M110" s="278"/>
      <c r="N110" s="278">
        <v>6450</v>
      </c>
      <c r="O110" s="278"/>
      <c r="P110" s="295">
        <f t="shared" si="28"/>
        <v>17400</v>
      </c>
      <c r="Q110" s="53"/>
      <c r="R110" s="53"/>
      <c r="S110" s="53"/>
      <c r="T110" s="67"/>
      <c r="U110" s="53"/>
      <c r="V110" s="53">
        <v>10950</v>
      </c>
      <c r="W110" s="371"/>
      <c r="X110" s="53"/>
      <c r="Y110" s="390"/>
      <c r="Z110" s="372"/>
      <c r="AA110" s="402">
        <f>1500+4950</f>
        <v>6450</v>
      </c>
      <c r="AB110" s="53"/>
      <c r="AC110" s="54" t="s">
        <v>33</v>
      </c>
      <c r="AE110" s="88"/>
      <c r="AF110" s="88"/>
      <c r="AG110" s="89"/>
    </row>
    <row r="111" spans="1:33" ht="39" customHeight="1">
      <c r="A111" s="50" t="s">
        <v>86</v>
      </c>
      <c r="B111" s="52" t="s">
        <v>33</v>
      </c>
      <c r="C111" s="295">
        <f>SUM(D111:O111)</f>
        <v>6300</v>
      </c>
      <c r="D111" s="278"/>
      <c r="E111" s="278"/>
      <c r="F111" s="278"/>
      <c r="G111" s="278"/>
      <c r="H111" s="278"/>
      <c r="I111" s="278"/>
      <c r="J111" s="23">
        <v>6300</v>
      </c>
      <c r="K111" s="278"/>
      <c r="L111" s="278"/>
      <c r="M111" s="278"/>
      <c r="N111" s="278"/>
      <c r="O111" s="278"/>
      <c r="P111" s="295">
        <f t="shared" si="28"/>
        <v>6300</v>
      </c>
      <c r="Q111" s="53"/>
      <c r="R111" s="53"/>
      <c r="S111" s="53"/>
      <c r="T111" s="67"/>
      <c r="U111" s="53"/>
      <c r="V111" s="53"/>
      <c r="W111" s="371">
        <v>6300</v>
      </c>
      <c r="X111" s="53"/>
      <c r="Y111" s="390"/>
      <c r="Z111" s="372"/>
      <c r="AA111" s="402"/>
      <c r="AB111" s="53"/>
      <c r="AC111" s="54" t="s">
        <v>33</v>
      </c>
      <c r="AE111" s="88"/>
      <c r="AF111" s="88"/>
      <c r="AG111" s="89"/>
    </row>
    <row r="112" spans="1:33" ht="27.75" customHeight="1">
      <c r="A112" s="55" t="s">
        <v>87</v>
      </c>
      <c r="B112" s="52" t="s">
        <v>33</v>
      </c>
      <c r="C112" s="302"/>
      <c r="D112" s="302"/>
      <c r="E112" s="302"/>
      <c r="F112" s="302"/>
      <c r="G112" s="302"/>
      <c r="H112" s="302"/>
      <c r="I112" s="302"/>
      <c r="J112" s="68"/>
      <c r="K112" s="302"/>
      <c r="L112" s="302"/>
      <c r="M112" s="302"/>
      <c r="N112" s="302"/>
      <c r="O112" s="302"/>
      <c r="P112" s="295">
        <f t="shared" si="28"/>
        <v>0</v>
      </c>
      <c r="Q112" s="53"/>
      <c r="R112" s="53"/>
      <c r="S112" s="53"/>
      <c r="T112" s="67"/>
      <c r="U112" s="53"/>
      <c r="V112" s="53"/>
      <c r="W112" s="371"/>
      <c r="X112" s="53"/>
      <c r="Y112" s="390"/>
      <c r="Z112" s="372"/>
      <c r="AA112" s="402"/>
      <c r="AB112" s="53"/>
      <c r="AC112" s="54" t="s">
        <v>33</v>
      </c>
      <c r="AE112" s="88"/>
      <c r="AF112" s="88"/>
      <c r="AG112" s="89"/>
    </row>
    <row r="113" spans="1:34" ht="18.75">
      <c r="A113" s="55" t="s">
        <v>88</v>
      </c>
      <c r="B113" s="52" t="s">
        <v>33</v>
      </c>
      <c r="C113" s="295">
        <f>SUM(D113:O113)</f>
        <v>19500</v>
      </c>
      <c r="D113" s="302"/>
      <c r="E113" s="302"/>
      <c r="F113" s="302"/>
      <c r="G113" s="302">
        <v>1950</v>
      </c>
      <c r="H113" s="302">
        <v>1950</v>
      </c>
      <c r="I113" s="302">
        <v>1950</v>
      </c>
      <c r="J113" s="68">
        <v>1950</v>
      </c>
      <c r="K113" s="302">
        <v>1950</v>
      </c>
      <c r="L113" s="302">
        <v>1950</v>
      </c>
      <c r="M113" s="302">
        <v>1950</v>
      </c>
      <c r="N113" s="302">
        <v>1950</v>
      </c>
      <c r="O113" s="302">
        <f>1950+1950</f>
        <v>3900</v>
      </c>
      <c r="P113" s="295">
        <f t="shared" si="28"/>
        <v>19500</v>
      </c>
      <c r="Q113" s="53"/>
      <c r="R113" s="53"/>
      <c r="S113" s="53"/>
      <c r="T113" s="67">
        <v>1950</v>
      </c>
      <c r="U113" s="53">
        <v>1950</v>
      </c>
      <c r="V113" s="53">
        <v>1950</v>
      </c>
      <c r="W113" s="371">
        <v>1950</v>
      </c>
      <c r="X113" s="53">
        <v>1950</v>
      </c>
      <c r="Y113" s="391">
        <v>1950</v>
      </c>
      <c r="Z113" s="372">
        <v>1950</v>
      </c>
      <c r="AA113" s="402">
        <v>1950</v>
      </c>
      <c r="AB113" s="301">
        <f>1950+1950</f>
        <v>3900</v>
      </c>
      <c r="AC113" s="54" t="s">
        <v>33</v>
      </c>
      <c r="AE113" s="88"/>
      <c r="AF113" s="88"/>
      <c r="AG113" s="89"/>
    </row>
    <row r="114" spans="1:34" ht="18.75">
      <c r="A114" s="50" t="s">
        <v>89</v>
      </c>
      <c r="B114" s="52" t="s">
        <v>33</v>
      </c>
      <c r="C114" s="302"/>
      <c r="D114" s="302"/>
      <c r="E114" s="302"/>
      <c r="F114" s="302"/>
      <c r="G114" s="302"/>
      <c r="H114" s="302"/>
      <c r="I114" s="302"/>
      <c r="J114" s="68"/>
      <c r="K114" s="302"/>
      <c r="L114" s="302"/>
      <c r="M114" s="302"/>
      <c r="N114" s="302"/>
      <c r="O114" s="302"/>
      <c r="P114" s="302"/>
      <c r="Q114" s="53"/>
      <c r="R114" s="53"/>
      <c r="S114" s="53"/>
      <c r="T114" s="67"/>
      <c r="U114" s="53"/>
      <c r="V114" s="53"/>
      <c r="W114" s="371"/>
      <c r="X114" s="53"/>
      <c r="Y114" s="390"/>
      <c r="Z114" s="53"/>
      <c r="AA114" s="53"/>
      <c r="AB114" s="53"/>
      <c r="AC114" s="54"/>
      <c r="AE114" s="90"/>
      <c r="AF114" s="88"/>
      <c r="AG114" s="89"/>
    </row>
    <row r="115" spans="1:34" ht="18.75">
      <c r="A115" s="48" t="s">
        <v>90</v>
      </c>
      <c r="B115" s="30">
        <v>0</v>
      </c>
      <c r="C115" s="279">
        <f>SUM(D115:O115)</f>
        <v>500</v>
      </c>
      <c r="D115" s="282"/>
      <c r="E115" s="282"/>
      <c r="F115" s="282">
        <f>SUM(F116:F117)</f>
        <v>0</v>
      </c>
      <c r="G115" s="282">
        <f>SUM(G116:G117)</f>
        <v>0</v>
      </c>
      <c r="H115" s="282">
        <f>SUM(H116:H117)</f>
        <v>0</v>
      </c>
      <c r="I115" s="282"/>
      <c r="J115" s="24"/>
      <c r="K115" s="282"/>
      <c r="L115" s="282"/>
      <c r="M115" s="282"/>
      <c r="N115" s="91">
        <f>SUM(N116:N117)</f>
        <v>500</v>
      </c>
      <c r="O115" s="91">
        <f>SUM(O116:O117)</f>
        <v>0</v>
      </c>
      <c r="P115" s="279">
        <f>SUM(Q115:AB115)</f>
        <v>500</v>
      </c>
      <c r="Q115" s="91"/>
      <c r="R115" s="91"/>
      <c r="S115" s="91">
        <f>SUM(S116:S117)</f>
        <v>0</v>
      </c>
      <c r="T115" s="91">
        <f t="shared" ref="T115:AB115" si="29">SUM(T116:T117)</f>
        <v>0</v>
      </c>
      <c r="U115" s="91">
        <f t="shared" si="29"/>
        <v>0</v>
      </c>
      <c r="V115" s="91">
        <f t="shared" si="29"/>
        <v>0</v>
      </c>
      <c r="W115" s="91">
        <f t="shared" si="29"/>
        <v>0</v>
      </c>
      <c r="X115" s="91">
        <f t="shared" si="29"/>
        <v>0</v>
      </c>
      <c r="Y115" s="91">
        <f t="shared" si="29"/>
        <v>0</v>
      </c>
      <c r="Z115" s="91">
        <f t="shared" si="29"/>
        <v>0</v>
      </c>
      <c r="AA115" s="91">
        <f>SUM(AA116:AA117)</f>
        <v>500</v>
      </c>
      <c r="AB115" s="91">
        <f t="shared" si="29"/>
        <v>0</v>
      </c>
      <c r="AC115" s="24">
        <f>B115+C115-P115</f>
        <v>0</v>
      </c>
      <c r="AG115" s="92"/>
    </row>
    <row r="116" spans="1:34" ht="18.75">
      <c r="A116" s="50" t="s">
        <v>91</v>
      </c>
      <c r="B116" s="52" t="s">
        <v>33</v>
      </c>
      <c r="C116" s="278"/>
      <c r="D116" s="278"/>
      <c r="E116" s="278"/>
      <c r="F116" s="278"/>
      <c r="G116" s="278"/>
      <c r="H116" s="278"/>
      <c r="I116" s="278"/>
      <c r="J116" s="23"/>
      <c r="K116" s="278"/>
      <c r="L116" s="278"/>
      <c r="M116" s="278"/>
      <c r="N116" s="278">
        <v>500</v>
      </c>
      <c r="O116" s="278"/>
      <c r="P116" s="278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>
        <v>500</v>
      </c>
      <c r="AB116" s="53"/>
      <c r="AC116" s="54" t="s">
        <v>33</v>
      </c>
      <c r="AG116" s="92"/>
    </row>
    <row r="117" spans="1:34" ht="18.75">
      <c r="A117" s="50"/>
      <c r="B117" s="52" t="s">
        <v>33</v>
      </c>
      <c r="C117" s="278">
        <v>0</v>
      </c>
      <c r="D117" s="278"/>
      <c r="E117" s="278"/>
      <c r="F117" s="278"/>
      <c r="G117" s="278"/>
      <c r="H117" s="278"/>
      <c r="I117" s="278"/>
      <c r="J117" s="23"/>
      <c r="K117" s="278"/>
      <c r="L117" s="278"/>
      <c r="M117" s="278"/>
      <c r="N117" s="278"/>
      <c r="O117" s="278"/>
      <c r="P117" s="278">
        <v>0</v>
      </c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4" t="s">
        <v>33</v>
      </c>
      <c r="AG117" s="92"/>
    </row>
    <row r="118" spans="1:34" ht="18.75" hidden="1">
      <c r="A118" s="49">
        <v>310</v>
      </c>
      <c r="B118" s="30">
        <v>0</v>
      </c>
      <c r="C118" s="282">
        <f>C119</f>
        <v>0</v>
      </c>
      <c r="D118" s="282"/>
      <c r="E118" s="282"/>
      <c r="F118" s="282"/>
      <c r="G118" s="282"/>
      <c r="H118" s="282"/>
      <c r="I118" s="282"/>
      <c r="J118" s="24"/>
      <c r="K118" s="282"/>
      <c r="L118" s="282"/>
      <c r="M118" s="282"/>
      <c r="N118" s="282"/>
      <c r="O118" s="282"/>
      <c r="P118" s="282">
        <f>P119</f>
        <v>0</v>
      </c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24">
        <f>B118+C118-P118</f>
        <v>0</v>
      </c>
      <c r="AG118" s="92"/>
    </row>
    <row r="119" spans="1:34" ht="29.25" hidden="1" customHeight="1">
      <c r="A119" s="50" t="s">
        <v>92</v>
      </c>
      <c r="B119" s="52" t="s">
        <v>33</v>
      </c>
      <c r="C119" s="278"/>
      <c r="D119" s="278"/>
      <c r="E119" s="278"/>
      <c r="F119" s="278"/>
      <c r="G119" s="278"/>
      <c r="H119" s="278"/>
      <c r="I119" s="278"/>
      <c r="J119" s="23"/>
      <c r="K119" s="278"/>
      <c r="L119" s="278"/>
      <c r="M119" s="278"/>
      <c r="N119" s="278"/>
      <c r="O119" s="278"/>
      <c r="P119" s="278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4" t="s">
        <v>33</v>
      </c>
      <c r="AG119" s="92"/>
    </row>
    <row r="120" spans="1:34" ht="18.75" hidden="1">
      <c r="A120" s="49">
        <v>340</v>
      </c>
      <c r="B120" s="30">
        <v>0</v>
      </c>
      <c r="C120" s="282">
        <f>C121</f>
        <v>0</v>
      </c>
      <c r="D120" s="282"/>
      <c r="E120" s="282"/>
      <c r="F120" s="282"/>
      <c r="G120" s="282"/>
      <c r="H120" s="282"/>
      <c r="I120" s="282"/>
      <c r="J120" s="24"/>
      <c r="K120" s="282"/>
      <c r="L120" s="282"/>
      <c r="M120" s="282"/>
      <c r="N120" s="282"/>
      <c r="O120" s="282"/>
      <c r="P120" s="282">
        <f>P121</f>
        <v>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24">
        <f>B120+C120-P120</f>
        <v>0</v>
      </c>
      <c r="AG120" s="92"/>
    </row>
    <row r="121" spans="1:34" ht="27" hidden="1">
      <c r="A121" s="50" t="s">
        <v>93</v>
      </c>
      <c r="B121" s="52" t="s">
        <v>33</v>
      </c>
      <c r="C121" s="278"/>
      <c r="D121" s="278"/>
      <c r="E121" s="278"/>
      <c r="F121" s="278"/>
      <c r="G121" s="278"/>
      <c r="H121" s="278"/>
      <c r="I121" s="278"/>
      <c r="J121" s="23"/>
      <c r="K121" s="278"/>
      <c r="L121" s="278"/>
      <c r="M121" s="278"/>
      <c r="N121" s="278"/>
      <c r="O121" s="278"/>
      <c r="P121" s="278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4" t="s">
        <v>33</v>
      </c>
      <c r="AG121" s="92"/>
    </row>
    <row r="122" spans="1:34" ht="18.75">
      <c r="A122" s="48" t="s">
        <v>94</v>
      </c>
      <c r="B122" s="30">
        <f>B104+B115+B120</f>
        <v>0</v>
      </c>
      <c r="C122" s="282">
        <f>C104+C115</f>
        <v>56990</v>
      </c>
      <c r="D122" s="282">
        <f t="shared" ref="D122:O122" si="30">D104+D115</f>
        <v>0</v>
      </c>
      <c r="E122" s="282">
        <f t="shared" si="30"/>
        <v>0</v>
      </c>
      <c r="F122" s="282">
        <f t="shared" si="30"/>
        <v>0</v>
      </c>
      <c r="G122" s="282">
        <f t="shared" si="30"/>
        <v>2530</v>
      </c>
      <c r="H122" s="282">
        <f t="shared" si="30"/>
        <v>2530</v>
      </c>
      <c r="I122" s="282">
        <f t="shared" si="30"/>
        <v>13480</v>
      </c>
      <c r="J122" s="24">
        <f>J104+J115</f>
        <v>8830</v>
      </c>
      <c r="K122" s="282">
        <f>K104+K115</f>
        <v>2530</v>
      </c>
      <c r="L122" s="282">
        <f t="shared" si="30"/>
        <v>2530</v>
      </c>
      <c r="M122" s="282">
        <f t="shared" si="30"/>
        <v>10020</v>
      </c>
      <c r="N122" s="282">
        <f>N104+N115</f>
        <v>9480</v>
      </c>
      <c r="O122" s="282">
        <f t="shared" si="30"/>
        <v>5060</v>
      </c>
      <c r="P122" s="282">
        <f>P104+P115</f>
        <v>56990</v>
      </c>
      <c r="Q122" s="24">
        <f t="shared" ref="Q122:AB122" si="31">Q104+Q115</f>
        <v>0</v>
      </c>
      <c r="R122" s="24">
        <f t="shared" si="31"/>
        <v>0</v>
      </c>
      <c r="S122" s="24">
        <f t="shared" si="31"/>
        <v>0</v>
      </c>
      <c r="T122" s="24">
        <f t="shared" si="31"/>
        <v>2530</v>
      </c>
      <c r="U122" s="24">
        <f t="shared" si="31"/>
        <v>2530</v>
      </c>
      <c r="V122" s="24">
        <f t="shared" si="31"/>
        <v>13480</v>
      </c>
      <c r="W122" s="24">
        <f t="shared" si="31"/>
        <v>8830</v>
      </c>
      <c r="X122" s="24">
        <f t="shared" si="31"/>
        <v>2530</v>
      </c>
      <c r="Y122" s="24">
        <f t="shared" si="31"/>
        <v>2530</v>
      </c>
      <c r="Z122" s="24">
        <f t="shared" si="31"/>
        <v>10020</v>
      </c>
      <c r="AA122" s="24">
        <f t="shared" si="31"/>
        <v>9480</v>
      </c>
      <c r="AB122" s="24">
        <f t="shared" si="31"/>
        <v>5060</v>
      </c>
      <c r="AC122" s="24">
        <f>AC104+AC115+AC120</f>
        <v>0</v>
      </c>
      <c r="AE122" s="1">
        <v>244</v>
      </c>
      <c r="AF122" s="20">
        <f>C77+C68+C56+C55+C34+C30</f>
        <v>3302807.29</v>
      </c>
      <c r="AG122" s="92"/>
    </row>
    <row r="123" spans="1:34" ht="18.75">
      <c r="A123" s="8"/>
      <c r="B123" s="93"/>
      <c r="C123" s="315"/>
      <c r="D123" s="315"/>
      <c r="E123" s="315"/>
      <c r="F123" s="315"/>
      <c r="G123" s="315"/>
      <c r="H123" s="315"/>
      <c r="I123" s="315"/>
      <c r="J123" s="94"/>
      <c r="K123" s="315"/>
      <c r="L123" s="315"/>
      <c r="M123" s="315"/>
      <c r="N123" s="315"/>
      <c r="O123" s="315"/>
      <c r="P123" s="315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5"/>
      <c r="AG123" s="92"/>
    </row>
    <row r="124" spans="1:34" ht="18.75">
      <c r="A124" s="96" t="s">
        <v>95</v>
      </c>
      <c r="B124" s="30">
        <f t="shared" ref="B124:AB124" si="32">B45</f>
        <v>0</v>
      </c>
      <c r="C124" s="282">
        <f t="shared" si="32"/>
        <v>16682271.340000002</v>
      </c>
      <c r="D124" s="282">
        <f t="shared" si="32"/>
        <v>191764.25</v>
      </c>
      <c r="E124" s="282">
        <f t="shared" si="32"/>
        <v>924289.53999999992</v>
      </c>
      <c r="F124" s="282">
        <f t="shared" si="32"/>
        <v>1166957.6399999999</v>
      </c>
      <c r="G124" s="282">
        <f t="shared" si="32"/>
        <v>1084957.27</v>
      </c>
      <c r="H124" s="282">
        <f t="shared" si="32"/>
        <v>1043758.9600000001</v>
      </c>
      <c r="I124" s="282">
        <f t="shared" si="32"/>
        <v>1853933.49</v>
      </c>
      <c r="J124" s="24">
        <f t="shared" si="32"/>
        <v>1731981.8100000003</v>
      </c>
      <c r="K124" s="282">
        <f t="shared" si="32"/>
        <v>1252250</v>
      </c>
      <c r="L124" s="282">
        <f>L45</f>
        <v>539165.28999999992</v>
      </c>
      <c r="M124" s="282">
        <f t="shared" si="32"/>
        <v>1780593.5</v>
      </c>
      <c r="N124" s="282">
        <f>N45</f>
        <v>2283455.67</v>
      </c>
      <c r="O124" s="282">
        <f t="shared" si="32"/>
        <v>2829163.9199999995</v>
      </c>
      <c r="P124" s="282">
        <f t="shared" si="32"/>
        <v>16133390.370000001</v>
      </c>
      <c r="Q124" s="24">
        <f t="shared" si="32"/>
        <v>158765.75999999998</v>
      </c>
      <c r="R124" s="24">
        <f t="shared" si="32"/>
        <v>897685.14999999991</v>
      </c>
      <c r="S124" s="24">
        <f t="shared" si="32"/>
        <v>1146366.79</v>
      </c>
      <c r="T124" s="24">
        <f t="shared" si="32"/>
        <v>1170775.2300000002</v>
      </c>
      <c r="U124" s="24">
        <f t="shared" si="32"/>
        <v>1005413.9299999999</v>
      </c>
      <c r="V124" s="24">
        <f t="shared" si="32"/>
        <v>1860982.0999999996</v>
      </c>
      <c r="W124" s="24">
        <f t="shared" si="32"/>
        <v>1746492.09</v>
      </c>
      <c r="X124" s="24">
        <f t="shared" si="32"/>
        <v>1117459.95</v>
      </c>
      <c r="Y124" s="24">
        <f t="shared" si="32"/>
        <v>582502.35</v>
      </c>
      <c r="Z124" s="282">
        <f t="shared" si="32"/>
        <v>1629708.67</v>
      </c>
      <c r="AA124" s="282">
        <f t="shared" si="32"/>
        <v>2231917.2199999997</v>
      </c>
      <c r="AB124" s="24">
        <f t="shared" si="32"/>
        <v>2585321.13</v>
      </c>
      <c r="AC124" s="282">
        <f>AC45</f>
        <v>548880.97000000067</v>
      </c>
      <c r="AG124" s="92"/>
    </row>
    <row r="125" spans="1:34" ht="18.75">
      <c r="A125" s="97" t="s">
        <v>96</v>
      </c>
      <c r="B125" s="30">
        <f>B91+B101+B122</f>
        <v>0</v>
      </c>
      <c r="C125" s="282">
        <f t="shared" ref="C125:AB125" si="33">C91+C122</f>
        <v>6003593.0599999987</v>
      </c>
      <c r="D125" s="282">
        <f t="shared" si="33"/>
        <v>28602.05</v>
      </c>
      <c r="E125" s="282">
        <f t="shared" si="33"/>
        <v>225665.1</v>
      </c>
      <c r="F125" s="282">
        <f t="shared" si="33"/>
        <v>1028732.03</v>
      </c>
      <c r="G125" s="282">
        <f t="shared" si="33"/>
        <v>460337.39</v>
      </c>
      <c r="H125" s="282">
        <f t="shared" si="33"/>
        <v>321853.81</v>
      </c>
      <c r="I125" s="282">
        <f t="shared" si="33"/>
        <v>629359.29</v>
      </c>
      <c r="J125" s="24">
        <f t="shared" si="33"/>
        <v>373812.24</v>
      </c>
      <c r="K125" s="282">
        <f t="shared" si="33"/>
        <v>351022.69999999995</v>
      </c>
      <c r="L125" s="282">
        <f t="shared" si="33"/>
        <v>530503.84</v>
      </c>
      <c r="M125" s="282">
        <f t="shared" si="33"/>
        <v>440933.86</v>
      </c>
      <c r="N125" s="282">
        <f>N91+N122</f>
        <v>610271.93999999994</v>
      </c>
      <c r="O125" s="282">
        <f t="shared" si="33"/>
        <v>1002498.81</v>
      </c>
      <c r="P125" s="282">
        <f t="shared" si="33"/>
        <v>5847560.0799999991</v>
      </c>
      <c r="Q125" s="282">
        <f t="shared" si="33"/>
        <v>29018.65</v>
      </c>
      <c r="R125" s="282">
        <f t="shared" si="33"/>
        <v>218724.88999999998</v>
      </c>
      <c r="S125" s="282">
        <f t="shared" si="33"/>
        <v>1000366.5399999999</v>
      </c>
      <c r="T125" s="282">
        <f t="shared" si="33"/>
        <v>485926.69</v>
      </c>
      <c r="U125" s="282">
        <f t="shared" si="33"/>
        <v>328492.81</v>
      </c>
      <c r="V125" s="282">
        <f t="shared" si="33"/>
        <v>619265.51</v>
      </c>
      <c r="W125" s="282">
        <f t="shared" si="33"/>
        <v>377355.86</v>
      </c>
      <c r="X125" s="282">
        <f t="shared" si="33"/>
        <v>254178.65999999997</v>
      </c>
      <c r="Y125" s="24">
        <f t="shared" si="33"/>
        <v>618615.15</v>
      </c>
      <c r="Z125" s="282">
        <f t="shared" si="33"/>
        <v>393693.26000000007</v>
      </c>
      <c r="AA125" s="282">
        <f t="shared" si="33"/>
        <v>526074.26</v>
      </c>
      <c r="AB125" s="24">
        <f t="shared" si="33"/>
        <v>995847.79999999993</v>
      </c>
      <c r="AC125" s="282">
        <f>AC91+AC101+AC122</f>
        <v>156032.98000000004</v>
      </c>
      <c r="AG125" s="92"/>
    </row>
    <row r="126" spans="1:34" s="220" customFormat="1" ht="18" customHeight="1">
      <c r="A126" s="218" t="s">
        <v>97</v>
      </c>
      <c r="B126" s="219">
        <f>B124+B125</f>
        <v>0</v>
      </c>
      <c r="C126" s="316">
        <f>C124+C125</f>
        <v>22685864.399999999</v>
      </c>
      <c r="D126" s="316">
        <f t="shared" ref="D126:AB126" si="34">D124+D125</f>
        <v>220366.3</v>
      </c>
      <c r="E126" s="316">
        <f t="shared" si="34"/>
        <v>1149954.6399999999</v>
      </c>
      <c r="F126" s="316">
        <f t="shared" si="34"/>
        <v>2195689.67</v>
      </c>
      <c r="G126" s="316">
        <f t="shared" si="34"/>
        <v>1545294.6600000001</v>
      </c>
      <c r="H126" s="316">
        <f t="shared" si="34"/>
        <v>1365612.77</v>
      </c>
      <c r="I126" s="316">
        <f t="shared" si="34"/>
        <v>2483292.7800000003</v>
      </c>
      <c r="J126" s="354">
        <f t="shared" si="34"/>
        <v>2105794.0500000003</v>
      </c>
      <c r="K126" s="316">
        <f t="shared" si="34"/>
        <v>1603272.7</v>
      </c>
      <c r="L126" s="316">
        <f t="shared" si="34"/>
        <v>1069669.1299999999</v>
      </c>
      <c r="M126" s="316">
        <f t="shared" si="34"/>
        <v>2221527.36</v>
      </c>
      <c r="N126" s="316">
        <f>N124+N125</f>
        <v>2893727.61</v>
      </c>
      <c r="O126" s="316">
        <f t="shared" si="34"/>
        <v>3831662.7299999995</v>
      </c>
      <c r="P126" s="316">
        <f>P124+P125</f>
        <v>21980950.449999999</v>
      </c>
      <c r="Q126" s="219">
        <f t="shared" si="34"/>
        <v>187784.40999999997</v>
      </c>
      <c r="R126" s="219">
        <f t="shared" si="34"/>
        <v>1116410.0399999998</v>
      </c>
      <c r="S126" s="219">
        <f t="shared" si="34"/>
        <v>2146733.33</v>
      </c>
      <c r="T126" s="219">
        <f t="shared" si="34"/>
        <v>1656701.9200000002</v>
      </c>
      <c r="U126" s="219">
        <f t="shared" si="34"/>
        <v>1333906.74</v>
      </c>
      <c r="V126" s="219">
        <f t="shared" si="34"/>
        <v>2480247.6099999994</v>
      </c>
      <c r="W126" s="316">
        <f t="shared" si="34"/>
        <v>2123847.9500000002</v>
      </c>
      <c r="X126" s="316">
        <f t="shared" si="34"/>
        <v>1371638.6099999999</v>
      </c>
      <c r="Y126" s="316">
        <f t="shared" si="34"/>
        <v>1201117.5</v>
      </c>
      <c r="Z126" s="316">
        <f t="shared" si="34"/>
        <v>2023401.93</v>
      </c>
      <c r="AA126" s="316">
        <f>AA124+AA125</f>
        <v>2757991.4799999995</v>
      </c>
      <c r="AB126" s="316">
        <f t="shared" si="34"/>
        <v>3581168.9299999997</v>
      </c>
      <c r="AC126" s="316">
        <f>AC124+AC125</f>
        <v>704913.95000000065</v>
      </c>
      <c r="AG126" s="221"/>
      <c r="AH126" s="222"/>
    </row>
    <row r="127" spans="1:34" ht="18.75" hidden="1">
      <c r="A127" s="98" t="s">
        <v>98</v>
      </c>
      <c r="B127" s="86">
        <f>B21+B29+B51</f>
        <v>0</v>
      </c>
      <c r="C127" s="313">
        <f>C21+C29+C51</f>
        <v>0</v>
      </c>
      <c r="D127" s="313"/>
      <c r="E127" s="313"/>
      <c r="F127" s="313"/>
      <c r="G127" s="313"/>
      <c r="H127" s="313"/>
      <c r="I127" s="313"/>
      <c r="J127" s="353"/>
      <c r="K127" s="313"/>
      <c r="L127" s="313"/>
      <c r="M127" s="313"/>
      <c r="N127" s="313"/>
      <c r="O127" s="313"/>
      <c r="P127" s="313">
        <f>P21+P29+P51</f>
        <v>0</v>
      </c>
      <c r="Q127" s="86"/>
      <c r="R127" s="86"/>
      <c r="S127" s="86"/>
      <c r="T127" s="86"/>
      <c r="U127" s="86"/>
      <c r="V127" s="86"/>
      <c r="W127" s="353"/>
      <c r="X127" s="86"/>
      <c r="Y127" s="86"/>
      <c r="Z127" s="86"/>
      <c r="AA127" s="86"/>
      <c r="AB127" s="86"/>
      <c r="AC127" s="99">
        <f>AC21+AC29+AC51</f>
        <v>0</v>
      </c>
      <c r="AG127" s="92">
        <f>AE127-AF127</f>
        <v>0</v>
      </c>
    </row>
    <row r="128" spans="1:34" hidden="1">
      <c r="A128" s="8"/>
      <c r="C128" s="317"/>
      <c r="D128" s="317"/>
      <c r="E128" s="317"/>
      <c r="F128" s="317"/>
      <c r="G128" s="317"/>
      <c r="H128" s="317"/>
      <c r="I128" s="317"/>
      <c r="J128" s="355"/>
      <c r="K128" s="317"/>
      <c r="L128" s="317"/>
      <c r="M128" s="317"/>
      <c r="N128" s="317"/>
      <c r="O128" s="317"/>
      <c r="P128" s="318"/>
      <c r="Q128" s="100"/>
      <c r="R128" s="100"/>
      <c r="S128" s="100"/>
      <c r="T128" s="100"/>
      <c r="U128" s="100"/>
      <c r="V128" s="100"/>
      <c r="W128" s="368"/>
      <c r="X128" s="100"/>
      <c r="Y128" s="100"/>
      <c r="Z128" s="100"/>
      <c r="AA128" s="100"/>
      <c r="AB128" s="100"/>
      <c r="AD128" s="101"/>
      <c r="AE128" s="20"/>
      <c r="AG128" s="92"/>
    </row>
    <row r="129" spans="1:37" ht="17.25" customHeight="1">
      <c r="A129" s="102" t="s">
        <v>99</v>
      </c>
      <c r="C129" s="319"/>
      <c r="D129" s="319"/>
      <c r="E129" s="319"/>
      <c r="F129" s="319"/>
      <c r="G129" s="319"/>
      <c r="H129" s="319"/>
      <c r="I129" s="319"/>
      <c r="J129" s="356"/>
      <c r="K129" s="319"/>
      <c r="L129" s="319"/>
      <c r="M129" s="319"/>
      <c r="N129" s="319"/>
      <c r="O129" s="319"/>
      <c r="AE129" s="1" t="s">
        <v>107</v>
      </c>
      <c r="AF129" s="1">
        <f>22323542.4-28687.85</f>
        <v>22294854.549999997</v>
      </c>
      <c r="AG129" s="92"/>
    </row>
    <row r="130" spans="1:37" ht="18" customHeight="1">
      <c r="A130" s="1" t="s">
        <v>100</v>
      </c>
      <c r="AG130" s="92"/>
    </row>
    <row r="131" spans="1:37" ht="32.25" customHeight="1">
      <c r="A131" s="103">
        <v>130</v>
      </c>
      <c r="B131" s="104">
        <f>C147-B132</f>
        <v>1462325.0100000002</v>
      </c>
      <c r="C131" s="330"/>
      <c r="D131" s="320"/>
      <c r="E131" s="320"/>
      <c r="F131" s="320"/>
      <c r="G131" s="321">
        <f>20.42+115.74+116.57+660.55</f>
        <v>913.28</v>
      </c>
      <c r="H131" s="321"/>
      <c r="I131" s="320"/>
      <c r="J131" s="333" t="s">
        <v>150</v>
      </c>
      <c r="K131" s="357" t="s">
        <v>150</v>
      </c>
      <c r="L131" s="333"/>
      <c r="M131" s="320"/>
      <c r="N131" s="320" t="s">
        <v>150</v>
      </c>
      <c r="O131" s="320" t="s">
        <v>150</v>
      </c>
      <c r="P131" s="384" t="s">
        <v>160</v>
      </c>
      <c r="AE131" s="1">
        <v>130</v>
      </c>
      <c r="AF131" s="20">
        <f>C126+B131</f>
        <v>24148189.41</v>
      </c>
      <c r="AH131" s="20"/>
      <c r="AI131" s="105"/>
    </row>
    <row r="132" spans="1:37" ht="20.25" customHeight="1">
      <c r="A132" s="103">
        <v>140</v>
      </c>
      <c r="B132" s="104">
        <f>680.8+3885.6</f>
        <v>4566.3999999999996</v>
      </c>
      <c r="C132" s="331" t="s">
        <v>145</v>
      </c>
      <c r="D132" s="320"/>
      <c r="E132" s="320"/>
      <c r="F132" s="320"/>
      <c r="G132" s="320"/>
      <c r="H132" s="320"/>
      <c r="I132" s="320"/>
      <c r="J132" s="357"/>
      <c r="K132" s="320"/>
      <c r="L132" s="320"/>
      <c r="M132" s="320"/>
      <c r="N132" s="320"/>
      <c r="O132" s="320"/>
      <c r="AF132" s="20"/>
      <c r="AH132" s="20"/>
      <c r="AI132" s="105"/>
    </row>
    <row r="133" spans="1:37" ht="19.5" customHeight="1">
      <c r="A133" s="103">
        <v>180</v>
      </c>
      <c r="B133" s="106">
        <v>0</v>
      </c>
      <c r="C133" s="332" t="s">
        <v>101</v>
      </c>
      <c r="D133" s="322"/>
      <c r="E133" s="322"/>
      <c r="F133" s="322"/>
      <c r="G133" s="322"/>
      <c r="H133" s="322"/>
      <c r="I133" s="322"/>
      <c r="J133" s="332"/>
      <c r="K133" s="322"/>
      <c r="L133" s="322"/>
      <c r="M133" s="322"/>
      <c r="N133" s="322"/>
      <c r="O133" s="322"/>
      <c r="AF133" s="240">
        <f>AF129-AF131</f>
        <v>-1853334.8600000031</v>
      </c>
    </row>
    <row r="134" spans="1:37">
      <c r="A134" s="107" t="s">
        <v>94</v>
      </c>
      <c r="B134" s="104">
        <f>SUM(B131:B133)</f>
        <v>1466891.4100000001</v>
      </c>
      <c r="C134" s="323"/>
      <c r="D134" s="323"/>
      <c r="E134" s="323"/>
      <c r="F134" s="323"/>
      <c r="G134" s="323"/>
      <c r="H134" s="323"/>
      <c r="I134" s="323"/>
      <c r="J134" s="358"/>
      <c r="K134" s="323"/>
      <c r="L134" s="323"/>
      <c r="M134" s="323"/>
      <c r="N134" s="323"/>
      <c r="O134" s="323"/>
      <c r="AE134" s="712"/>
      <c r="AF134" s="712"/>
      <c r="AG134" s="108"/>
    </row>
    <row r="135" spans="1:37" ht="19.350000000000001" customHeight="1">
      <c r="AF135" s="1">
        <v>6355497.6399999997</v>
      </c>
    </row>
    <row r="136" spans="1:37" ht="43.5" customHeight="1">
      <c r="A136" s="103"/>
      <c r="B136" s="109" t="s">
        <v>108</v>
      </c>
      <c r="C136" s="386" t="s">
        <v>5</v>
      </c>
      <c r="D136" s="324" t="s">
        <v>109</v>
      </c>
      <c r="E136" s="324" t="s">
        <v>110</v>
      </c>
      <c r="F136" s="324" t="s">
        <v>111</v>
      </c>
      <c r="G136" s="324" t="s">
        <v>112</v>
      </c>
      <c r="H136" s="324" t="s">
        <v>113</v>
      </c>
      <c r="I136" s="324" t="s">
        <v>114</v>
      </c>
      <c r="J136" s="359" t="s">
        <v>115</v>
      </c>
      <c r="K136" s="324" t="s">
        <v>116</v>
      </c>
      <c r="L136" s="324" t="s">
        <v>117</v>
      </c>
      <c r="M136" s="324" t="s">
        <v>118</v>
      </c>
      <c r="N136" s="324" t="s">
        <v>119</v>
      </c>
      <c r="O136" s="324" t="s">
        <v>120</v>
      </c>
      <c r="P136" s="386" t="s">
        <v>6</v>
      </c>
      <c r="Q136" s="146" t="s">
        <v>109</v>
      </c>
      <c r="R136" s="109" t="s">
        <v>110</v>
      </c>
      <c r="S136" s="146" t="s">
        <v>111</v>
      </c>
      <c r="T136" s="146" t="s">
        <v>112</v>
      </c>
      <c r="U136" s="146" t="s">
        <v>113</v>
      </c>
      <c r="V136" s="324" t="s">
        <v>114</v>
      </c>
      <c r="W136" s="359" t="s">
        <v>115</v>
      </c>
      <c r="X136" s="324" t="s">
        <v>116</v>
      </c>
      <c r="Y136" s="324" t="s">
        <v>117</v>
      </c>
      <c r="Z136" s="324" t="s">
        <v>118</v>
      </c>
      <c r="AA136" s="324" t="s">
        <v>163</v>
      </c>
      <c r="AB136" s="324" t="s">
        <v>120</v>
      </c>
      <c r="AC136" s="396" t="str">
        <f>AC6</f>
        <v>остаток на 01.01.2018</v>
      </c>
      <c r="AE136" s="1">
        <v>244</v>
      </c>
      <c r="AF136" s="20">
        <f>P30+P32+P34+P39+P55+P56+P68+P82+P104+P147+P36+P115</f>
        <v>4708647.59</v>
      </c>
      <c r="AG136" s="20"/>
    </row>
    <row r="137" spans="1:37" ht="18.75">
      <c r="A137" s="103">
        <v>211</v>
      </c>
      <c r="B137" s="110"/>
      <c r="C137" s="278"/>
      <c r="D137" s="278"/>
      <c r="E137" s="278"/>
      <c r="F137" s="278"/>
      <c r="G137" s="278"/>
      <c r="H137" s="278"/>
      <c r="I137" s="278"/>
      <c r="J137" s="23"/>
      <c r="K137" s="278"/>
      <c r="L137" s="278"/>
      <c r="M137" s="278"/>
      <c r="N137" s="278"/>
      <c r="O137" s="278"/>
      <c r="P137" s="304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24">
        <f t="shared" ref="AC137:AC146" si="35">B137+C137-P137</f>
        <v>0</v>
      </c>
      <c r="AF137" s="383">
        <f>AF135-AF136</f>
        <v>1646850.0499999998</v>
      </c>
      <c r="AH137" s="105"/>
      <c r="AI137" s="20"/>
      <c r="AK137" s="20"/>
    </row>
    <row r="138" spans="1:37" ht="18.75">
      <c r="A138" s="103">
        <v>212</v>
      </c>
      <c r="B138" s="22"/>
      <c r="C138" s="304"/>
      <c r="D138" s="304"/>
      <c r="E138" s="304"/>
      <c r="F138" s="304"/>
      <c r="G138" s="304"/>
      <c r="H138" s="304"/>
      <c r="I138" s="304"/>
      <c r="J138" s="70"/>
      <c r="K138" s="304"/>
      <c r="L138" s="304"/>
      <c r="M138" s="304"/>
      <c r="N138" s="304"/>
      <c r="O138" s="304"/>
      <c r="P138" s="304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24">
        <f t="shared" si="35"/>
        <v>0</v>
      </c>
      <c r="AH138" s="105"/>
      <c r="AI138" s="20"/>
      <c r="AK138" s="20"/>
    </row>
    <row r="139" spans="1:37" ht="18.75">
      <c r="A139" s="103">
        <v>290</v>
      </c>
      <c r="B139" s="22"/>
      <c r="C139" s="295"/>
      <c r="D139" s="278"/>
      <c r="E139" s="278"/>
      <c r="F139" s="278"/>
      <c r="G139" s="278"/>
      <c r="H139" s="278"/>
      <c r="I139" s="278"/>
      <c r="J139" s="23"/>
      <c r="K139" s="278"/>
      <c r="L139" s="278"/>
      <c r="M139" s="278"/>
      <c r="N139" s="278"/>
      <c r="O139" s="278"/>
      <c r="P139" s="302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24">
        <f t="shared" si="35"/>
        <v>0</v>
      </c>
      <c r="AE139" s="1">
        <v>111</v>
      </c>
      <c r="AF139" s="1">
        <v>11285868.720000001</v>
      </c>
      <c r="AH139" s="105"/>
      <c r="AI139" s="20"/>
      <c r="AK139" s="20"/>
    </row>
    <row r="140" spans="1:37" ht="18.75" hidden="1">
      <c r="A140" s="103">
        <v>221</v>
      </c>
      <c r="B140" s="22"/>
      <c r="C140" s="295">
        <f t="shared" ref="C140:C146" si="36">SUM(D140:O140)</f>
        <v>0</v>
      </c>
      <c r="D140" s="304"/>
      <c r="E140" s="304"/>
      <c r="F140" s="304"/>
      <c r="G140" s="304"/>
      <c r="H140" s="304"/>
      <c r="I140" s="304"/>
      <c r="J140" s="70"/>
      <c r="K140" s="304"/>
      <c r="L140" s="304"/>
      <c r="M140" s="304"/>
      <c r="N140" s="304"/>
      <c r="O140" s="304"/>
      <c r="P140" s="304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4">
        <f t="shared" si="35"/>
        <v>0</v>
      </c>
      <c r="AE140" s="1">
        <v>244</v>
      </c>
      <c r="AH140" s="105"/>
      <c r="AI140" s="20"/>
      <c r="AK140" s="20"/>
    </row>
    <row r="141" spans="1:37" ht="18.75" hidden="1">
      <c r="A141" s="103">
        <v>222</v>
      </c>
      <c r="B141" s="22"/>
      <c r="C141" s="295">
        <f t="shared" si="36"/>
        <v>0</v>
      </c>
      <c r="D141" s="304"/>
      <c r="E141" s="304"/>
      <c r="F141" s="304"/>
      <c r="G141" s="304"/>
      <c r="H141" s="304"/>
      <c r="I141" s="304"/>
      <c r="J141" s="70"/>
      <c r="K141" s="304"/>
      <c r="L141" s="304"/>
      <c r="M141" s="304"/>
      <c r="N141" s="304"/>
      <c r="O141" s="304"/>
      <c r="P141" s="304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4">
        <f t="shared" si="35"/>
        <v>0</v>
      </c>
      <c r="AE141" s="1">
        <v>244</v>
      </c>
      <c r="AH141" s="105"/>
      <c r="AI141" s="20"/>
      <c r="AK141" s="20"/>
    </row>
    <row r="142" spans="1:37" ht="18.75" hidden="1">
      <c r="A142" s="103">
        <v>223</v>
      </c>
      <c r="B142" s="22"/>
      <c r="C142" s="295">
        <f t="shared" si="36"/>
        <v>0</v>
      </c>
      <c r="D142" s="304"/>
      <c r="E142" s="304"/>
      <c r="F142" s="304"/>
      <c r="G142" s="304"/>
      <c r="H142" s="304"/>
      <c r="I142" s="304"/>
      <c r="J142" s="70"/>
      <c r="K142" s="304"/>
      <c r="L142" s="304"/>
      <c r="M142" s="304"/>
      <c r="N142" s="304"/>
      <c r="O142" s="304"/>
      <c r="P142" s="278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4">
        <f t="shared" si="35"/>
        <v>0</v>
      </c>
      <c r="AE142" s="1">
        <v>244</v>
      </c>
      <c r="AH142" s="105"/>
      <c r="AI142" s="20"/>
      <c r="AK142" s="20"/>
    </row>
    <row r="143" spans="1:37" ht="18.75" hidden="1">
      <c r="A143" s="103">
        <v>225</v>
      </c>
      <c r="B143" s="43"/>
      <c r="C143" s="295">
        <f t="shared" si="36"/>
        <v>0</v>
      </c>
      <c r="D143" s="278"/>
      <c r="E143" s="278"/>
      <c r="F143" s="278"/>
      <c r="G143" s="278"/>
      <c r="H143" s="278"/>
      <c r="I143" s="278"/>
      <c r="J143" s="23"/>
      <c r="K143" s="278"/>
      <c r="L143" s="278"/>
      <c r="M143" s="278"/>
      <c r="N143" s="278"/>
      <c r="O143" s="278"/>
      <c r="P143" s="278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4">
        <f t="shared" si="35"/>
        <v>0</v>
      </c>
      <c r="AE143" s="1">
        <v>244</v>
      </c>
      <c r="AH143" s="105"/>
      <c r="AI143" s="20"/>
      <c r="AK143" s="20"/>
    </row>
    <row r="144" spans="1:37" ht="18.75" hidden="1">
      <c r="A144" s="103">
        <v>226</v>
      </c>
      <c r="B144" s="43"/>
      <c r="C144" s="295">
        <f t="shared" si="36"/>
        <v>0</v>
      </c>
      <c r="D144" s="304"/>
      <c r="E144" s="304"/>
      <c r="F144" s="304"/>
      <c r="G144" s="304"/>
      <c r="H144" s="304"/>
      <c r="I144" s="304"/>
      <c r="J144" s="70"/>
      <c r="K144" s="304"/>
      <c r="L144" s="304"/>
      <c r="M144" s="304"/>
      <c r="N144" s="304"/>
      <c r="O144" s="304"/>
      <c r="P144" s="304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24">
        <f t="shared" si="35"/>
        <v>0</v>
      </c>
      <c r="AE144" s="1">
        <v>244</v>
      </c>
      <c r="AH144" s="105"/>
      <c r="AI144" s="20"/>
      <c r="AK144" s="20"/>
    </row>
    <row r="145" spans="1:37" ht="18.75" hidden="1">
      <c r="A145" s="111">
        <v>290</v>
      </c>
      <c r="B145" s="110"/>
      <c r="C145" s="295">
        <f t="shared" si="36"/>
        <v>0</v>
      </c>
      <c r="D145" s="302"/>
      <c r="E145" s="302"/>
      <c r="F145" s="302"/>
      <c r="G145" s="302"/>
      <c r="H145" s="302"/>
      <c r="I145" s="302"/>
      <c r="J145" s="68"/>
      <c r="K145" s="302"/>
      <c r="L145" s="302"/>
      <c r="M145" s="302"/>
      <c r="N145" s="302"/>
      <c r="O145" s="302"/>
      <c r="P145" s="304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24">
        <f t="shared" si="35"/>
        <v>0</v>
      </c>
      <c r="AE145" s="1">
        <v>244</v>
      </c>
      <c r="AH145" s="105"/>
      <c r="AI145" s="20"/>
      <c r="AK145" s="20"/>
    </row>
    <row r="146" spans="1:37" ht="8.25" hidden="1" customHeight="1">
      <c r="A146" s="103">
        <v>310</v>
      </c>
      <c r="B146" s="22"/>
      <c r="C146" s="295">
        <f t="shared" si="36"/>
        <v>0</v>
      </c>
      <c r="D146" s="304"/>
      <c r="E146" s="304"/>
      <c r="F146" s="304"/>
      <c r="G146" s="304"/>
      <c r="H146" s="304"/>
      <c r="I146" s="304"/>
      <c r="J146" s="70"/>
      <c r="K146" s="304"/>
      <c r="L146" s="304"/>
      <c r="M146" s="304"/>
      <c r="N146" s="304"/>
      <c r="O146" s="304"/>
      <c r="P146" s="304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24">
        <f t="shared" si="35"/>
        <v>0</v>
      </c>
      <c r="AE146" s="1">
        <v>244</v>
      </c>
      <c r="AH146" s="105"/>
      <c r="AI146" s="20"/>
      <c r="AK146" s="20"/>
    </row>
    <row r="147" spans="1:37" ht="18.75">
      <c r="A147" s="103">
        <v>340</v>
      </c>
      <c r="B147" s="74">
        <v>559.42999999999995</v>
      </c>
      <c r="C147" s="295">
        <f>SUM(D147:O147)</f>
        <v>1466891.4100000001</v>
      </c>
      <c r="D147" s="278">
        <f>'январь 20'!B38</f>
        <v>369943.8</v>
      </c>
      <c r="E147" s="278">
        <f>'внеб февраль'!B37</f>
        <v>398424.73</v>
      </c>
      <c r="F147" s="278">
        <f>'внеб апрель'!B38</f>
        <v>338289.50000000006</v>
      </c>
      <c r="G147" s="278">
        <f>апрель!B38+апрель!E37</f>
        <v>0</v>
      </c>
      <c r="H147" s="278">
        <f>'май 19'!B38+'май 19'!E37</f>
        <v>360233.38</v>
      </c>
      <c r="I147" s="278">
        <f>июнь!B38+июнь!E37</f>
        <v>0</v>
      </c>
      <c r="J147" s="23">
        <f>июль!B38+июль!E37</f>
        <v>0</v>
      </c>
      <c r="K147" s="23">
        <f>август!B38+август!F37</f>
        <v>0</v>
      </c>
      <c r="L147" s="23">
        <f>сентябрь!B38+сентябрь!F37</f>
        <v>0</v>
      </c>
      <c r="M147" s="23">
        <f>октябрь!B38+октябрь!F37</f>
        <v>0</v>
      </c>
      <c r="N147" s="23">
        <f>ноябрь!B38+ноябрь!F37</f>
        <v>0</v>
      </c>
      <c r="O147" s="23">
        <f>декабрь!B38+декабрь!D37</f>
        <v>0</v>
      </c>
      <c r="P147" s="295">
        <f>SUM(Q147:AB147)</f>
        <v>1420950.89</v>
      </c>
      <c r="Q147" s="23">
        <f>'январь 20'!B53</f>
        <v>245796.25999999995</v>
      </c>
      <c r="R147" s="23">
        <f>'внеб февраль'!B52</f>
        <v>430602.48</v>
      </c>
      <c r="S147" s="23">
        <f>'внеб апрель'!B53</f>
        <v>366200.65</v>
      </c>
      <c r="T147" s="23">
        <f>апрель!B53</f>
        <v>0</v>
      </c>
      <c r="U147" s="23">
        <f>'май 19'!B53</f>
        <v>378351.49999999994</v>
      </c>
      <c r="V147" s="278">
        <f>июнь!B53</f>
        <v>0</v>
      </c>
      <c r="W147" s="23">
        <f>июль!B53</f>
        <v>0</v>
      </c>
      <c r="X147" s="23">
        <f>август!B53</f>
        <v>0</v>
      </c>
      <c r="Y147" s="23">
        <f>сентябрь!B53</f>
        <v>0</v>
      </c>
      <c r="Z147" s="23">
        <f>октябрь!B53</f>
        <v>0</v>
      </c>
      <c r="AA147" s="23">
        <f>ноябрь!B53</f>
        <v>0</v>
      </c>
      <c r="AB147" s="23">
        <f>декабрь!B53</f>
        <v>0</v>
      </c>
      <c r="AC147" s="24">
        <f>B147+C147-P147</f>
        <v>46499.950000000186</v>
      </c>
      <c r="AD147" s="220"/>
      <c r="AF147" s="20">
        <f>P8+P48</f>
        <v>13758535.68</v>
      </c>
      <c r="AH147" s="105"/>
      <c r="AI147" s="20"/>
      <c r="AK147" s="20"/>
    </row>
    <row r="148" spans="1:37" ht="18.75">
      <c r="A148" s="107" t="s">
        <v>102</v>
      </c>
      <c r="B148" s="24">
        <f>B143+B145+B147+B142+B141+B140+B139+B138+B137</f>
        <v>559.42999999999995</v>
      </c>
      <c r="C148" s="282">
        <f>C147+C139</f>
        <v>1466891.4100000001</v>
      </c>
      <c r="D148" s="282">
        <f t="shared" ref="D148:AB148" si="37">D147+D139</f>
        <v>369943.8</v>
      </c>
      <c r="E148" s="282">
        <f t="shared" si="37"/>
        <v>398424.73</v>
      </c>
      <c r="F148" s="282">
        <f t="shared" si="37"/>
        <v>338289.50000000006</v>
      </c>
      <c r="G148" s="282">
        <f>G147+G139</f>
        <v>0</v>
      </c>
      <c r="H148" s="282">
        <f>H147+H139</f>
        <v>360233.38</v>
      </c>
      <c r="I148" s="282">
        <f t="shared" si="37"/>
        <v>0</v>
      </c>
      <c r="J148" s="24">
        <f>J147+J139</f>
        <v>0</v>
      </c>
      <c r="K148" s="282">
        <f>K147+K139</f>
        <v>0</v>
      </c>
      <c r="L148" s="282">
        <f t="shared" si="37"/>
        <v>0</v>
      </c>
      <c r="M148" s="282">
        <f t="shared" si="37"/>
        <v>0</v>
      </c>
      <c r="N148" s="282">
        <f t="shared" si="37"/>
        <v>0</v>
      </c>
      <c r="O148" s="282">
        <f t="shared" si="37"/>
        <v>0</v>
      </c>
      <c r="P148" s="282">
        <f>P147+P139</f>
        <v>1420950.89</v>
      </c>
      <c r="Q148" s="24">
        <f t="shared" si="37"/>
        <v>245796.25999999995</v>
      </c>
      <c r="R148" s="24">
        <f>R147+R139</f>
        <v>430602.48</v>
      </c>
      <c r="S148" s="24">
        <f t="shared" si="37"/>
        <v>366200.65</v>
      </c>
      <c r="T148" s="24">
        <f t="shared" si="37"/>
        <v>0</v>
      </c>
      <c r="U148" s="24">
        <f t="shared" si="37"/>
        <v>378351.49999999994</v>
      </c>
      <c r="V148" s="24">
        <f t="shared" si="37"/>
        <v>0</v>
      </c>
      <c r="W148" s="24">
        <f t="shared" si="37"/>
        <v>0</v>
      </c>
      <c r="X148" s="24">
        <f t="shared" si="37"/>
        <v>0</v>
      </c>
      <c r="Y148" s="24">
        <f t="shared" si="37"/>
        <v>0</v>
      </c>
      <c r="Z148" s="282">
        <f t="shared" si="37"/>
        <v>0</v>
      </c>
      <c r="AA148" s="24">
        <f t="shared" si="37"/>
        <v>0</v>
      </c>
      <c r="AB148" s="24">
        <f t="shared" si="37"/>
        <v>0</v>
      </c>
      <c r="AC148" s="393">
        <f>декабрь!D54</f>
        <v>0</v>
      </c>
      <c r="AD148" s="20">
        <f>B148+C148-P148</f>
        <v>46499.950000000186</v>
      </c>
      <c r="AF148" s="240">
        <f>AF139-AF147</f>
        <v>-2472666.959999999</v>
      </c>
      <c r="AI148" s="20"/>
      <c r="AK148" s="20"/>
    </row>
    <row r="149" spans="1:37" ht="18" customHeight="1">
      <c r="AD149" s="240">
        <f>AC148-AD148</f>
        <v>-46499.950000000186</v>
      </c>
      <c r="AE149" s="1">
        <v>119</v>
      </c>
      <c r="AF149" s="1">
        <v>3287411.52</v>
      </c>
    </row>
    <row r="150" spans="1:37" ht="18.75" customHeight="1">
      <c r="A150" s="3" t="s">
        <v>103</v>
      </c>
      <c r="AD150" s="20"/>
      <c r="AE150" s="20"/>
      <c r="AF150" s="254">
        <f>P11+P50</f>
        <v>3726813.6100000003</v>
      </c>
      <c r="AG150" s="20"/>
    </row>
    <row r="151" spans="1:37" ht="18.75" customHeight="1">
      <c r="A151" s="238" t="s">
        <v>108</v>
      </c>
      <c r="B151" s="112"/>
      <c r="C151" s="325"/>
      <c r="D151" s="325"/>
      <c r="E151" s="325"/>
      <c r="F151" s="325"/>
      <c r="G151" s="325"/>
      <c r="H151" s="325"/>
      <c r="I151" s="325"/>
      <c r="J151" s="360"/>
      <c r="K151" s="325"/>
      <c r="L151" s="325"/>
      <c r="M151" s="325"/>
      <c r="N151" s="325"/>
      <c r="O151" s="325"/>
      <c r="P151" s="325"/>
      <c r="Q151" s="113"/>
      <c r="R151" s="113"/>
      <c r="S151" s="113"/>
      <c r="T151" s="113"/>
      <c r="U151" s="113"/>
      <c r="V151" s="113"/>
      <c r="W151" s="360"/>
      <c r="X151" s="113"/>
      <c r="Y151" s="113"/>
      <c r="Z151" s="113"/>
      <c r="AA151" s="113"/>
      <c r="AB151" s="113"/>
      <c r="AC151" s="114"/>
      <c r="AF151" s="240">
        <f>AF149-AF150</f>
        <v>-439402.09000000032</v>
      </c>
    </row>
    <row r="152" spans="1:37" ht="15.75" hidden="1" customHeight="1">
      <c r="A152" s="115">
        <v>180</v>
      </c>
      <c r="B152" s="116">
        <v>1433.17</v>
      </c>
      <c r="C152" s="325"/>
      <c r="D152" s="325"/>
      <c r="E152" s="325"/>
      <c r="F152" s="325"/>
      <c r="G152" s="325"/>
      <c r="H152" s="325"/>
      <c r="I152" s="325"/>
      <c r="J152" s="360"/>
      <c r="K152" s="325"/>
      <c r="L152" s="325"/>
      <c r="M152" s="325"/>
      <c r="N152" s="325"/>
      <c r="O152" s="325"/>
      <c r="P152" s="325"/>
      <c r="Q152" s="113"/>
      <c r="R152" s="113"/>
      <c r="S152" s="113"/>
      <c r="T152" s="113"/>
      <c r="U152" s="113"/>
      <c r="V152" s="113"/>
      <c r="W152" s="360"/>
      <c r="X152" s="113"/>
      <c r="Y152" s="113"/>
      <c r="Z152" s="113"/>
      <c r="AA152" s="113"/>
      <c r="AB152" s="113"/>
      <c r="AC152" s="114"/>
      <c r="AD152" s="117"/>
      <c r="AF152" s="101"/>
      <c r="AG152" s="108"/>
    </row>
    <row r="153" spans="1:37" ht="15.75" hidden="1" customHeight="1">
      <c r="A153" s="115"/>
      <c r="B153" s="116"/>
      <c r="C153" s="325"/>
      <c r="D153" s="325"/>
      <c r="E153" s="325"/>
      <c r="F153" s="325"/>
      <c r="G153" s="325"/>
      <c r="H153" s="325"/>
      <c r="I153" s="325"/>
      <c r="J153" s="360"/>
      <c r="K153" s="325"/>
      <c r="L153" s="325"/>
      <c r="M153" s="325"/>
      <c r="N153" s="325"/>
      <c r="O153" s="325"/>
      <c r="P153" s="325"/>
      <c r="Q153" s="113"/>
      <c r="R153" s="113"/>
      <c r="S153" s="113"/>
      <c r="T153" s="113"/>
      <c r="U153" s="113"/>
      <c r="V153" s="113"/>
      <c r="W153" s="360"/>
      <c r="X153" s="113"/>
      <c r="Y153" s="113"/>
      <c r="Z153" s="113"/>
      <c r="AA153" s="113"/>
      <c r="AB153" s="113"/>
      <c r="AC153" s="114"/>
      <c r="AD153" s="117"/>
      <c r="AF153" s="101"/>
      <c r="AG153" s="108"/>
    </row>
    <row r="154" spans="1:37" ht="17.25" customHeight="1">
      <c r="A154" s="103">
        <v>510</v>
      </c>
      <c r="B154" s="118">
        <f>9329.76+1072.35+811.92+2360+5111.15+816+957.16+160+137.5+4149.9+519.38+515.09+560+238.45+7687.5+2729.9+1899.9+72.6+160+1549.08+211.65+1345+1975+850+2144.7+504.99+1337.42+523.19+885.57+272+4051.44+2625+1877.83+4606.03+8991.45+10650.36+2638.74+9390+2819.42+2909.93+330+3166.5+900+3166.5+6346.1+734.99+16306+4393.56+3927.24+5891+6958.1+4714+5625+30171.25+2240.63+492+9578+3033+1388+3375+1330+1710+1957.86</f>
        <v>219182.09</v>
      </c>
      <c r="C154" s="273"/>
      <c r="D154" s="273"/>
      <c r="E154" s="273"/>
      <c r="F154" s="273"/>
      <c r="G154" s="273"/>
      <c r="H154" s="273"/>
      <c r="I154" s="273"/>
      <c r="J154" s="361"/>
      <c r="K154" s="273"/>
      <c r="L154" s="273"/>
      <c r="M154" s="273"/>
      <c r="N154" s="273"/>
      <c r="O154" s="273"/>
      <c r="P154" s="273"/>
      <c r="Q154" s="8"/>
      <c r="R154" s="8"/>
      <c r="S154" s="8"/>
      <c r="T154" s="8"/>
      <c r="U154" s="8"/>
      <c r="V154" s="8"/>
      <c r="W154" s="361"/>
      <c r="X154" s="8"/>
      <c r="Y154" s="8"/>
      <c r="Z154" s="8"/>
      <c r="AA154" s="8"/>
      <c r="AB154" s="8"/>
      <c r="AC154" s="9"/>
      <c r="AD154" s="117"/>
      <c r="AF154" s="101"/>
      <c r="AG154" s="108"/>
    </row>
    <row r="155" spans="1:37" ht="18" customHeight="1">
      <c r="A155" s="111">
        <v>610</v>
      </c>
      <c r="B155" s="118">
        <f>1345+1975+850+9329.76+2360+5111.15+811.92+957.16+816+515.09+4149.9+560+7687.5+1072.35+238.45+2729.9+137.5+3166.5+1899.9+519.38+2144.7+885.57+4606.03+900+3166.5+330+734.99</f>
        <v>59000.249999999985</v>
      </c>
      <c r="D155" s="326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273"/>
      <c r="Q155" s="8"/>
      <c r="R155" s="8"/>
      <c r="S155" s="8"/>
      <c r="T155" s="8"/>
      <c r="U155" s="8"/>
      <c r="V155" s="8"/>
      <c r="W155" s="361"/>
      <c r="X155" s="8"/>
      <c r="Y155" s="8"/>
      <c r="Z155" s="8"/>
      <c r="AA155" s="8"/>
      <c r="AB155" s="8"/>
      <c r="AC155" s="9"/>
      <c r="AD155" s="117"/>
      <c r="AE155" s="1">
        <v>112</v>
      </c>
      <c r="AF155" s="51">
        <v>5256.46</v>
      </c>
      <c r="AG155" s="108"/>
    </row>
    <row r="156" spans="1:37" ht="18" customHeight="1">
      <c r="A156" s="119" t="s">
        <v>104</v>
      </c>
      <c r="B156" s="127">
        <f>B151+B154-B155</f>
        <v>160181.84000000003</v>
      </c>
      <c r="C156" s="326"/>
      <c r="D156" s="326"/>
      <c r="E156" s="326"/>
      <c r="F156" s="326"/>
      <c r="G156" s="326"/>
      <c r="H156" s="326"/>
      <c r="I156" s="326"/>
      <c r="J156" s="362"/>
      <c r="K156" s="326"/>
      <c r="L156" s="326"/>
      <c r="M156" s="326"/>
      <c r="N156" s="326"/>
      <c r="O156" s="326"/>
      <c r="P156" s="273"/>
      <c r="Q156" s="8"/>
      <c r="R156" s="8"/>
      <c r="S156" s="8"/>
      <c r="T156" s="8"/>
      <c r="U156" s="8"/>
      <c r="V156" s="8"/>
      <c r="W156" s="361"/>
      <c r="X156" s="8"/>
      <c r="Y156" s="8"/>
      <c r="Z156" s="8"/>
      <c r="AA156" s="8"/>
      <c r="AB156" s="8"/>
      <c r="AC156" s="9"/>
      <c r="AD156" s="117"/>
      <c r="AF156" s="51">
        <f>P10+P49</f>
        <v>6356.46</v>
      </c>
      <c r="AG156" s="108"/>
    </row>
    <row r="157" spans="1:37" ht="19.5" customHeight="1">
      <c r="A157" s="120"/>
      <c r="B157" s="51"/>
      <c r="C157" s="327"/>
      <c r="D157" s="327"/>
      <c r="E157" s="327"/>
      <c r="F157" s="327"/>
      <c r="G157" s="327"/>
      <c r="H157" s="327"/>
      <c r="I157" s="327"/>
      <c r="J157" s="363"/>
      <c r="K157" s="327"/>
      <c r="L157" s="327"/>
      <c r="M157" s="327"/>
      <c r="N157" s="327"/>
      <c r="O157" s="327"/>
      <c r="AF157" s="240">
        <f>AF155-AF156</f>
        <v>-1100</v>
      </c>
      <c r="AG157" s="108"/>
    </row>
    <row r="158" spans="1:37" ht="24" customHeight="1">
      <c r="A158" s="121" t="s">
        <v>105</v>
      </c>
      <c r="B158" s="122">
        <f>B126+B148+B151</f>
        <v>559.42999999999995</v>
      </c>
      <c r="C158" s="328">
        <f>C126+C148</f>
        <v>24152755.809999999</v>
      </c>
      <c r="D158" s="328">
        <f t="shared" ref="D158:N158" si="38">D126+D148</f>
        <v>590310.1</v>
      </c>
      <c r="E158" s="328">
        <f t="shared" si="38"/>
        <v>1548379.3699999999</v>
      </c>
      <c r="F158" s="328">
        <f t="shared" si="38"/>
        <v>2533979.17</v>
      </c>
      <c r="G158" s="328">
        <f t="shared" si="38"/>
        <v>1545294.6600000001</v>
      </c>
      <c r="H158" s="328">
        <f>H126+H148</f>
        <v>1725846.15</v>
      </c>
      <c r="I158" s="328">
        <f t="shared" si="38"/>
        <v>2483292.7800000003</v>
      </c>
      <c r="J158" s="364">
        <f t="shared" si="38"/>
        <v>2105794.0500000003</v>
      </c>
      <c r="K158" s="328">
        <f t="shared" si="38"/>
        <v>1603272.7</v>
      </c>
      <c r="L158" s="328">
        <f>L126+L148</f>
        <v>1069669.1299999999</v>
      </c>
      <c r="M158" s="328">
        <f t="shared" si="38"/>
        <v>2221527.36</v>
      </c>
      <c r="N158" s="328">
        <f t="shared" si="38"/>
        <v>2893727.61</v>
      </c>
      <c r="O158" s="328">
        <f>O126+O148</f>
        <v>3831662.7299999995</v>
      </c>
      <c r="P158" s="328">
        <f>P126+P148</f>
        <v>23401901.34</v>
      </c>
      <c r="Q158" s="328">
        <f t="shared" ref="Q158:X158" si="39">Q126+Q148</f>
        <v>433580.66999999993</v>
      </c>
      <c r="R158" s="328">
        <f t="shared" si="39"/>
        <v>1547012.5199999998</v>
      </c>
      <c r="S158" s="328">
        <f t="shared" si="39"/>
        <v>2512933.98</v>
      </c>
      <c r="T158" s="328">
        <f t="shared" si="39"/>
        <v>1656701.9200000002</v>
      </c>
      <c r="U158" s="328">
        <f t="shared" si="39"/>
        <v>1712258.24</v>
      </c>
      <c r="V158" s="328">
        <f t="shared" si="39"/>
        <v>2480247.6099999994</v>
      </c>
      <c r="W158" s="328">
        <f t="shared" si="39"/>
        <v>2123847.9500000002</v>
      </c>
      <c r="X158" s="328">
        <f t="shared" si="39"/>
        <v>1371638.6099999999</v>
      </c>
      <c r="Y158" s="328">
        <f>Y126+Y148</f>
        <v>1201117.5</v>
      </c>
      <c r="Z158" s="328">
        <f>Z126+Z148</f>
        <v>2023401.93</v>
      </c>
      <c r="AA158" s="328">
        <f>AA126+AA148</f>
        <v>2757991.4799999995</v>
      </c>
      <c r="AB158" s="122">
        <f>AB126+AB148</f>
        <v>3581168.9299999997</v>
      </c>
      <c r="AC158" s="334">
        <f>AC126+AC148+B156</f>
        <v>865095.79000000074</v>
      </c>
      <c r="AD158" s="20">
        <f>B158+C158-P158+B154-B155</f>
        <v>911595.73999999848</v>
      </c>
      <c r="AF158" s="20"/>
      <c r="AG158" s="108"/>
    </row>
    <row r="159" spans="1:37" ht="21.75" customHeight="1">
      <c r="B159" s="123"/>
      <c r="AD159" s="240">
        <f>AC158-AD158</f>
        <v>-46499.949999997742</v>
      </c>
      <c r="AF159" s="20"/>
      <c r="AG159" s="108"/>
    </row>
    <row r="160" spans="1:37" ht="24.75" customHeight="1">
      <c r="A160" s="236" t="s">
        <v>144</v>
      </c>
      <c r="B160" s="237"/>
      <c r="C160" s="329"/>
      <c r="D160" s="329"/>
      <c r="E160" s="329"/>
      <c r="F160" s="329"/>
      <c r="G160" s="329"/>
      <c r="H160" s="329"/>
      <c r="I160" s="329"/>
      <c r="J160" s="236"/>
      <c r="K160" s="329"/>
      <c r="L160" s="329"/>
      <c r="M160" s="329"/>
      <c r="N160" s="329"/>
      <c r="O160" s="329"/>
      <c r="P160" s="329"/>
      <c r="Q160"/>
      <c r="R160"/>
      <c r="S160"/>
      <c r="T160"/>
      <c r="U160"/>
      <c r="V160"/>
      <c r="W160" s="236"/>
      <c r="X160"/>
      <c r="Y160"/>
      <c r="Z160"/>
      <c r="AA160"/>
      <c r="AB160"/>
      <c r="AC160" s="124"/>
      <c r="AH160" s="2"/>
    </row>
    <row r="161" spans="1:30" ht="16.5" customHeight="1"/>
    <row r="162" spans="1:30" ht="24.75" customHeight="1">
      <c r="A162" s="237" t="s">
        <v>143</v>
      </c>
      <c r="AD162" s="387"/>
    </row>
    <row r="163" spans="1:30" ht="18.75" customHeight="1">
      <c r="AC163" s="3" t="s">
        <v>63</v>
      </c>
      <c r="AD163" s="105">
        <f>AD85+AC147</f>
        <v>112224.46000000014</v>
      </c>
    </row>
    <row r="164" spans="1:30" ht="16.5" customHeight="1"/>
    <row r="165" spans="1:30" ht="17.25" customHeight="1">
      <c r="AC165" s="125"/>
    </row>
    <row r="166" spans="1:30">
      <c r="C166" s="327"/>
      <c r="D166" s="327"/>
      <c r="E166" s="327"/>
      <c r="F166" s="327"/>
      <c r="G166" s="327"/>
      <c r="H166" s="327"/>
      <c r="I166" s="327"/>
      <c r="J166" s="363"/>
      <c r="K166" s="327"/>
      <c r="L166" s="327"/>
      <c r="M166" s="327"/>
      <c r="N166" s="327"/>
      <c r="O166" s="327"/>
      <c r="P166" s="327"/>
      <c r="Q166" s="20"/>
      <c r="R166" s="20"/>
      <c r="S166" s="20"/>
      <c r="T166" s="20"/>
      <c r="U166" s="20"/>
      <c r="V166" s="20"/>
      <c r="W166" s="363"/>
      <c r="X166" s="20"/>
      <c r="Y166" s="20"/>
      <c r="Z166" s="20"/>
      <c r="AA166" s="20"/>
      <c r="AB166" s="20"/>
    </row>
    <row r="167" spans="1:30">
      <c r="C167" s="327"/>
      <c r="D167" s="327"/>
      <c r="E167" s="327"/>
      <c r="F167" s="327"/>
      <c r="G167" s="327"/>
      <c r="H167" s="327"/>
      <c r="I167" s="327"/>
      <c r="J167" s="363"/>
      <c r="K167" s="327"/>
      <c r="L167" s="327"/>
      <c r="M167" s="327"/>
      <c r="N167" s="327"/>
      <c r="O167" s="327"/>
      <c r="P167" s="327"/>
      <c r="Q167" s="20"/>
      <c r="R167" s="20"/>
      <c r="S167" s="20"/>
      <c r="T167" s="20"/>
      <c r="U167" s="20"/>
      <c r="V167" s="20"/>
      <c r="W167" s="363"/>
      <c r="X167" s="20"/>
      <c r="Y167" s="20"/>
      <c r="Z167" s="20"/>
      <c r="AA167" s="20"/>
      <c r="AB167" s="20"/>
    </row>
    <row r="168" spans="1:30" hidden="1">
      <c r="C168" s="327"/>
      <c r="D168" s="327"/>
      <c r="E168" s="327"/>
      <c r="F168" s="327"/>
      <c r="G168" s="327"/>
      <c r="H168" s="327"/>
      <c r="I168" s="327"/>
      <c r="J168" s="363"/>
      <c r="K168" s="327"/>
      <c r="L168" s="327"/>
      <c r="M168" s="327"/>
      <c r="N168" s="327"/>
      <c r="O168" s="327"/>
      <c r="P168" s="327"/>
      <c r="Q168" s="20"/>
      <c r="R168" s="20"/>
      <c r="S168" s="20"/>
      <c r="T168" s="20"/>
      <c r="U168" s="20"/>
      <c r="V168" s="20"/>
      <c r="W168" s="363"/>
      <c r="X168" s="20"/>
      <c r="Y168" s="20"/>
      <c r="Z168" s="20"/>
      <c r="AA168" s="20"/>
      <c r="AB168" s="20"/>
    </row>
    <row r="169" spans="1:30" hidden="1"/>
    <row r="170" spans="1:30" hidden="1"/>
  </sheetData>
  <sheetProtection selectLockedCells="1" selectUnlockedCells="1"/>
  <mergeCells count="5">
    <mergeCell ref="B2:C2"/>
    <mergeCell ref="AD48:AE48"/>
    <mergeCell ref="AD49:AD50"/>
    <mergeCell ref="AE134:AF134"/>
    <mergeCell ref="AE7:AF8"/>
  </mergeCells>
  <pageMargins left="0.23622047244094491" right="0.11811023622047245" top="0.39370078740157483" bottom="0.19685039370078741" header="0.19685039370078741" footer="0.51181102362204722"/>
  <pageSetup paperSize="9" scale="57" firstPageNumber="0" fitToHeight="2" orientation="portrait" horizontalDpi="300" verticalDpi="300" r:id="rId1"/>
  <headerFooter alignWithMargins="0"/>
  <rowBreaks count="1" manualBreakCount="1">
    <brk id="67" max="28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F119"/>
  <sheetViews>
    <sheetView workbookViewId="0">
      <selection activeCell="H9" sqref="H9"/>
    </sheetView>
  </sheetViews>
  <sheetFormatPr defaultRowHeight="12.75"/>
  <cols>
    <col min="6" max="6" width="8.85546875" customWidth="1"/>
  </cols>
  <sheetData>
    <row r="3" spans="6:6" ht="15.75">
      <c r="F3" s="512"/>
    </row>
    <row r="4" spans="6:6">
      <c r="F4" s="513" t="s">
        <v>209</v>
      </c>
    </row>
    <row r="7" spans="6:6">
      <c r="F7" s="514">
        <v>111</v>
      </c>
    </row>
    <row r="8" spans="6:6">
      <c r="F8" s="515"/>
    </row>
    <row r="9" spans="6:6">
      <c r="F9" s="515"/>
    </row>
    <row r="10" spans="6:6">
      <c r="F10" s="516"/>
    </row>
    <row r="11" spans="6:6">
      <c r="F11" s="502">
        <v>112</v>
      </c>
    </row>
    <row r="12" spans="6:6">
      <c r="F12" s="503">
        <v>111</v>
      </c>
    </row>
    <row r="13" spans="6:6">
      <c r="F13" s="503">
        <v>112</v>
      </c>
    </row>
    <row r="14" spans="6:6">
      <c r="F14" s="503"/>
    </row>
    <row r="15" spans="6:6">
      <c r="F15" s="517"/>
    </row>
    <row r="16" spans="6:6">
      <c r="F16" s="518">
        <v>119</v>
      </c>
    </row>
    <row r="17" spans="6:6">
      <c r="F17" s="518">
        <v>119</v>
      </c>
    </row>
    <row r="18" spans="6:6">
      <c r="F18" s="517">
        <v>244</v>
      </c>
    </row>
    <row r="19" spans="6:6">
      <c r="F19" s="519"/>
    </row>
    <row r="20" spans="6:6">
      <c r="F20" s="519"/>
    </row>
    <row r="21" spans="6:6">
      <c r="F21" s="517">
        <v>244</v>
      </c>
    </row>
    <row r="22" spans="6:6">
      <c r="F22" s="516">
        <v>244</v>
      </c>
    </row>
    <row r="23" spans="6:6">
      <c r="F23" s="520"/>
    </row>
    <row r="24" spans="6:6">
      <c r="F24" s="521"/>
    </row>
    <row r="25" spans="6:6">
      <c r="F25" s="522"/>
    </row>
    <row r="26" spans="6:6">
      <c r="F26" s="522"/>
    </row>
    <row r="27" spans="6:6">
      <c r="F27" s="522"/>
    </row>
    <row r="28" spans="6:6">
      <c r="F28" s="522"/>
    </row>
    <row r="29" spans="6:6">
      <c r="F29" s="522"/>
    </row>
    <row r="30" spans="6:6">
      <c r="F30" s="522"/>
    </row>
    <row r="31" spans="6:6">
      <c r="F31" s="523"/>
    </row>
    <row r="32" spans="6:6">
      <c r="F32" s="521"/>
    </row>
    <row r="33" spans="6:6">
      <c r="F33" s="524"/>
    </row>
    <row r="34" spans="6:6">
      <c r="F34" s="520"/>
    </row>
    <row r="35" spans="6:6">
      <c r="F35" s="521"/>
    </row>
    <row r="36" spans="6:6">
      <c r="F36" s="522"/>
    </row>
    <row r="37" spans="6:6">
      <c r="F37" s="521"/>
    </row>
    <row r="38" spans="6:6">
      <c r="F38" s="516">
        <v>244</v>
      </c>
    </row>
    <row r="39" spans="6:6">
      <c r="F39" s="521">
        <v>244</v>
      </c>
    </row>
    <row r="40" spans="6:6">
      <c r="F40" s="521"/>
    </row>
    <row r="41" spans="6:6">
      <c r="F41" s="521">
        <v>244</v>
      </c>
    </row>
    <row r="42" spans="6:6">
      <c r="F42" s="521"/>
    </row>
    <row r="43" spans="6:6">
      <c r="F43" s="521">
        <v>244</v>
      </c>
    </row>
    <row r="44" spans="6:6">
      <c r="F44" s="521">
        <v>244</v>
      </c>
    </row>
    <row r="45" spans="6:6">
      <c r="F45" s="525">
        <v>244</v>
      </c>
    </row>
    <row r="46" spans="6:6">
      <c r="F46" s="526"/>
    </row>
    <row r="47" spans="6:6">
      <c r="F47" s="527"/>
    </row>
    <row r="48" spans="6:6">
      <c r="F48" s="521">
        <v>244</v>
      </c>
    </row>
    <row r="49" spans="6:6">
      <c r="F49" s="521"/>
    </row>
    <row r="50" spans="6:6">
      <c r="F50" s="521">
        <v>244</v>
      </c>
    </row>
    <row r="51" spans="6:6">
      <c r="F51" s="521">
        <v>244</v>
      </c>
    </row>
    <row r="52" spans="6:6">
      <c r="F52" s="528" t="s">
        <v>210</v>
      </c>
    </row>
    <row r="53" spans="6:6" ht="13.5" thickBot="1">
      <c r="F53" s="529">
        <v>112</v>
      </c>
    </row>
    <row r="54" spans="6:6">
      <c r="F54" s="530">
        <v>112</v>
      </c>
    </row>
    <row r="55" spans="6:6">
      <c r="F55" s="531">
        <v>112</v>
      </c>
    </row>
    <row r="56" spans="6:6">
      <c r="F56" s="531">
        <v>112</v>
      </c>
    </row>
    <row r="57" spans="6:6">
      <c r="F57" s="532" t="s">
        <v>211</v>
      </c>
    </row>
    <row r="58" spans="6:6" ht="13.5" thickBot="1">
      <c r="F58" s="533">
        <v>112</v>
      </c>
    </row>
    <row r="59" spans="6:6" ht="13.5" thickBot="1">
      <c r="F59" s="529">
        <v>113</v>
      </c>
    </row>
    <row r="60" spans="6:6">
      <c r="F60" s="530">
        <v>113</v>
      </c>
    </row>
    <row r="61" spans="6:6">
      <c r="F61" s="531">
        <v>113</v>
      </c>
    </row>
    <row r="62" spans="6:6">
      <c r="F62" s="531">
        <v>113</v>
      </c>
    </row>
    <row r="63" spans="6:6">
      <c r="F63" s="521"/>
    </row>
    <row r="64" spans="6:6">
      <c r="F64" s="534"/>
    </row>
    <row r="65" spans="6:6">
      <c r="F65" s="535">
        <v>851</v>
      </c>
    </row>
    <row r="66" spans="6:6">
      <c r="F66" s="534"/>
    </row>
    <row r="67" spans="6:6">
      <c r="F67" s="534">
        <v>244</v>
      </c>
    </row>
    <row r="68" spans="6:6">
      <c r="F68" s="521"/>
    </row>
    <row r="69" spans="6:6">
      <c r="F69" s="521"/>
    </row>
    <row r="70" spans="6:6">
      <c r="F70" s="521"/>
    </row>
    <row r="71" spans="6:6">
      <c r="F71" s="521"/>
    </row>
    <row r="72" spans="6:6">
      <c r="F72" s="521"/>
    </row>
    <row r="73" spans="6:6">
      <c r="F73" s="521"/>
    </row>
    <row r="74" spans="6:6">
      <c r="F74" s="526"/>
    </row>
    <row r="75" spans="6:6">
      <c r="F75" s="536"/>
    </row>
    <row r="77" spans="6:6">
      <c r="F77" s="534">
        <v>244</v>
      </c>
    </row>
    <row r="78" spans="6:6">
      <c r="F78" s="521"/>
    </row>
    <row r="79" spans="6:6">
      <c r="F79" s="521"/>
    </row>
    <row r="80" spans="6:6">
      <c r="F80" s="521"/>
    </row>
    <row r="81" spans="6:6">
      <c r="F81" s="521"/>
    </row>
    <row r="82" spans="6:6">
      <c r="F82" s="521"/>
    </row>
    <row r="83" spans="6:6">
      <c r="F83" s="521"/>
    </row>
    <row r="84" spans="6:6">
      <c r="F84" s="521"/>
    </row>
    <row r="85" spans="6:6">
      <c r="F85" s="521"/>
    </row>
    <row r="86" spans="6:6">
      <c r="F86" s="524"/>
    </row>
    <row r="87" spans="6:6">
      <c r="F87" s="537"/>
    </row>
    <row r="88" spans="6:6">
      <c r="F88" s="538"/>
    </row>
    <row r="89" spans="6:6">
      <c r="F89" s="539"/>
    </row>
    <row r="90" spans="6:6">
      <c r="F90" s="540"/>
    </row>
    <row r="91" spans="6:6" ht="18.75">
      <c r="F91" s="541"/>
    </row>
    <row r="92" spans="6:6">
      <c r="F92" s="147"/>
    </row>
    <row r="93" spans="6:6">
      <c r="F93" s="542"/>
    </row>
    <row r="94" spans="6:6">
      <c r="F94" s="542"/>
    </row>
    <row r="95" spans="6:6" ht="15.75">
      <c r="F95" s="543"/>
    </row>
    <row r="96" spans="6:6">
      <c r="F96" s="147"/>
    </row>
    <row r="97" spans="6:6">
      <c r="F97" s="542" t="s">
        <v>209</v>
      </c>
    </row>
    <row r="98" spans="6:6">
      <c r="F98" s="542">
        <v>244</v>
      </c>
    </row>
    <row r="99" spans="6:6">
      <c r="F99" s="542">
        <v>244</v>
      </c>
    </row>
    <row r="100" spans="6:6">
      <c r="F100" s="542">
        <v>119</v>
      </c>
    </row>
    <row r="101" spans="6:6">
      <c r="F101" s="542">
        <v>244</v>
      </c>
    </row>
    <row r="102" spans="6:6">
      <c r="F102" s="542">
        <v>224</v>
      </c>
    </row>
    <row r="103" spans="6:6">
      <c r="F103" s="542">
        <v>243</v>
      </c>
    </row>
    <row r="104" spans="6:6">
      <c r="F104" s="542">
        <v>244</v>
      </c>
    </row>
    <row r="105" spans="6:6">
      <c r="F105" s="542"/>
    </row>
    <row r="106" spans="6:6">
      <c r="F106" s="542"/>
    </row>
    <row r="107" spans="6:6">
      <c r="F107" s="544"/>
    </row>
    <row r="108" spans="6:6">
      <c r="F108" s="147"/>
    </row>
    <row r="109" spans="6:6">
      <c r="F109" s="545"/>
    </row>
    <row r="110" spans="6:6">
      <c r="F110" s="546"/>
    </row>
    <row r="111" spans="6:6">
      <c r="F111" s="542"/>
    </row>
    <row r="112" spans="6:6">
      <c r="F112" s="547"/>
    </row>
    <row r="113" spans="6:6">
      <c r="F113" s="548"/>
    </row>
    <row r="114" spans="6:6">
      <c r="F114" s="549"/>
    </row>
    <row r="115" spans="6:6">
      <c r="F115" s="550"/>
    </row>
    <row r="117" spans="6:6" ht="14.25">
      <c r="F117" s="551"/>
    </row>
    <row r="118" spans="6:6" ht="14.25">
      <c r="F118" s="552"/>
    </row>
    <row r="119" spans="6:6" ht="14.25">
      <c r="F119" s="5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3" workbookViewId="0">
      <selection activeCell="A22" sqref="A22"/>
    </sheetView>
  </sheetViews>
  <sheetFormatPr defaultRowHeight="12.75"/>
  <cols>
    <col min="1" max="1" width="12.7109375" customWidth="1"/>
    <col min="2" max="2" width="15" customWidth="1"/>
    <col min="3" max="3" width="13.7109375" customWidth="1"/>
    <col min="4" max="4" width="10.42578125" customWidth="1"/>
    <col min="5" max="5" width="11.140625" customWidth="1"/>
    <col min="6" max="6" width="12.28515625" customWidth="1"/>
    <col min="7" max="7" width="10.8554687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33.75">
      <c r="A3" s="149" t="s">
        <v>124</v>
      </c>
      <c r="B3" s="150" t="s">
        <v>125</v>
      </c>
      <c r="C3" s="151" t="s">
        <v>126</v>
      </c>
      <c r="D3" s="151" t="s">
        <v>197</v>
      </c>
      <c r="E3" s="151" t="s">
        <v>194</v>
      </c>
      <c r="F3" s="150" t="s">
        <v>129</v>
      </c>
      <c r="G3" s="211" t="s">
        <v>102</v>
      </c>
    </row>
    <row r="4" spans="1:7" ht="15.75">
      <c r="A4" s="205" t="s">
        <v>106</v>
      </c>
      <c r="B4" s="152">
        <v>93224.609999999986</v>
      </c>
      <c r="C4" s="241"/>
      <c r="D4" s="204"/>
      <c r="E4" s="242"/>
      <c r="F4" s="242"/>
      <c r="G4" s="212">
        <f>B4+F4</f>
        <v>93224.609999999986</v>
      </c>
    </row>
    <row r="5" spans="1:7">
      <c r="A5" s="154">
        <v>43801</v>
      </c>
      <c r="B5" s="155">
        <f>979+1076.9</f>
        <v>2055.9</v>
      </c>
      <c r="C5" s="155"/>
      <c r="D5" s="156"/>
      <c r="E5" s="157"/>
      <c r="F5" s="158"/>
      <c r="G5" s="211">
        <f t="shared" ref="G5:G36" si="0">SUM(B5:F5)</f>
        <v>2055.9</v>
      </c>
    </row>
    <row r="6" spans="1:7">
      <c r="A6" s="154">
        <v>43802</v>
      </c>
      <c r="B6" s="155">
        <v>19256.09</v>
      </c>
      <c r="C6" s="155"/>
      <c r="D6" s="157"/>
      <c r="E6" s="157"/>
      <c r="F6" s="159"/>
      <c r="G6" s="211">
        <f t="shared" si="0"/>
        <v>19256.09</v>
      </c>
    </row>
    <row r="7" spans="1:7">
      <c r="A7" s="154">
        <v>43803</v>
      </c>
      <c r="B7" s="155">
        <v>66526.460000000006</v>
      </c>
      <c r="C7" s="160">
        <v>2545.4</v>
      </c>
      <c r="D7" s="156"/>
      <c r="E7" s="155"/>
      <c r="F7" s="159"/>
      <c r="G7" s="211">
        <f t="shared" si="0"/>
        <v>69071.86</v>
      </c>
    </row>
    <row r="8" spans="1:7">
      <c r="A8" s="161">
        <v>43804</v>
      </c>
      <c r="B8" s="155">
        <v>31195.85</v>
      </c>
      <c r="C8" s="155">
        <v>10827.74</v>
      </c>
      <c r="D8" s="162"/>
      <c r="E8" s="162"/>
      <c r="F8" s="159"/>
      <c r="G8" s="211">
        <f t="shared" si="0"/>
        <v>42023.59</v>
      </c>
    </row>
    <row r="9" spans="1:7">
      <c r="A9" s="161">
        <v>43805</v>
      </c>
      <c r="B9" s="155">
        <v>31606.7</v>
      </c>
      <c r="C9" s="155">
        <v>4503.3999999999996</v>
      </c>
      <c r="D9" s="162"/>
      <c r="E9" s="162"/>
      <c r="F9" s="159"/>
      <c r="G9" s="211">
        <f t="shared" si="0"/>
        <v>36110.1</v>
      </c>
    </row>
    <row r="10" spans="1:7">
      <c r="A10" s="161">
        <v>43808</v>
      </c>
      <c r="B10" s="155">
        <f>51282.05+18426.2</f>
        <v>69708.25</v>
      </c>
      <c r="C10" s="155">
        <f>1762.2+3720.2</f>
        <v>5482.4</v>
      </c>
      <c r="D10" s="162"/>
      <c r="E10" s="162"/>
      <c r="F10" s="159"/>
      <c r="G10" s="211">
        <f t="shared" si="0"/>
        <v>75190.649999999994</v>
      </c>
    </row>
    <row r="11" spans="1:7">
      <c r="A11" s="161">
        <v>43809</v>
      </c>
      <c r="B11" s="155">
        <v>46334.16</v>
      </c>
      <c r="C11" s="155">
        <v>1762.2</v>
      </c>
      <c r="D11" s="162"/>
      <c r="E11" s="162"/>
      <c r="F11" s="158"/>
      <c r="G11" s="211">
        <f t="shared" si="0"/>
        <v>48096.36</v>
      </c>
    </row>
    <row r="12" spans="1:7">
      <c r="A12" s="161">
        <v>43810</v>
      </c>
      <c r="B12" s="155">
        <v>30221.3</v>
      </c>
      <c r="C12" s="155">
        <v>11845.9</v>
      </c>
      <c r="D12" s="162"/>
      <c r="E12" s="162"/>
      <c r="F12" s="158"/>
      <c r="G12" s="211">
        <f t="shared" si="0"/>
        <v>42067.199999999997</v>
      </c>
    </row>
    <row r="13" spans="1:7" ht="11.45" customHeight="1">
      <c r="A13" s="161">
        <v>43811</v>
      </c>
      <c r="B13" s="155">
        <v>29418.95</v>
      </c>
      <c r="C13" s="155">
        <v>10051.799999999999</v>
      </c>
      <c r="D13" s="163"/>
      <c r="E13" s="162"/>
      <c r="F13" s="158"/>
      <c r="G13" s="211">
        <f t="shared" si="0"/>
        <v>39470.75</v>
      </c>
    </row>
    <row r="14" spans="1:7">
      <c r="A14" s="161">
        <v>43812</v>
      </c>
      <c r="B14" s="155">
        <v>3818.1</v>
      </c>
      <c r="C14" s="155">
        <v>489.5</v>
      </c>
      <c r="D14" s="162"/>
      <c r="E14" s="162"/>
      <c r="F14" s="158"/>
      <c r="G14" s="211">
        <f t="shared" si="0"/>
        <v>4307.6000000000004</v>
      </c>
    </row>
    <row r="15" spans="1:7">
      <c r="A15" s="161">
        <v>43815</v>
      </c>
      <c r="B15" s="155">
        <f>7885.32+2104.85</f>
        <v>9990.17</v>
      </c>
      <c r="C15" s="155">
        <v>5476.28</v>
      </c>
      <c r="D15" s="162"/>
      <c r="E15" s="162"/>
      <c r="F15" s="159"/>
      <c r="G15" s="211">
        <f t="shared" si="0"/>
        <v>15466.45</v>
      </c>
    </row>
    <row r="16" spans="1:7">
      <c r="A16" s="161">
        <v>43816</v>
      </c>
      <c r="B16" s="155">
        <v>3064.27</v>
      </c>
      <c r="C16" s="160"/>
      <c r="D16" s="165"/>
      <c r="E16" s="165"/>
      <c r="F16" s="166"/>
      <c r="G16" s="211">
        <f t="shared" si="0"/>
        <v>3064.27</v>
      </c>
    </row>
    <row r="17" spans="1:7">
      <c r="A17" s="161">
        <v>43817</v>
      </c>
      <c r="B17" s="207">
        <v>2888.05</v>
      </c>
      <c r="C17" s="208"/>
      <c r="D17" s="165"/>
      <c r="E17" s="165"/>
      <c r="F17" s="166"/>
      <c r="G17" s="211">
        <f t="shared" si="0"/>
        <v>2888.05</v>
      </c>
    </row>
    <row r="18" spans="1:7">
      <c r="A18" s="161">
        <v>43818</v>
      </c>
      <c r="B18" s="207">
        <v>3372.66</v>
      </c>
      <c r="C18" s="208"/>
      <c r="D18" s="165"/>
      <c r="E18" s="165"/>
      <c r="F18" s="166"/>
      <c r="G18" s="211">
        <f t="shared" si="0"/>
        <v>3372.66</v>
      </c>
    </row>
    <row r="19" spans="1:7">
      <c r="A19" s="161">
        <v>43819</v>
      </c>
      <c r="B19" s="191">
        <v>200</v>
      </c>
      <c r="C19" s="208"/>
      <c r="D19" s="165"/>
      <c r="E19" s="165"/>
      <c r="F19" s="166"/>
      <c r="G19" s="211">
        <f t="shared" si="0"/>
        <v>200</v>
      </c>
    </row>
    <row r="20" spans="1:7">
      <c r="A20" s="161">
        <v>43823</v>
      </c>
      <c r="B20" s="191">
        <v>293.7</v>
      </c>
      <c r="C20" s="209"/>
      <c r="D20" s="168"/>
      <c r="E20" s="165"/>
      <c r="F20" s="166"/>
      <c r="G20" s="211">
        <f t="shared" si="0"/>
        <v>293.7</v>
      </c>
    </row>
    <row r="21" spans="1:7">
      <c r="A21" s="161">
        <v>43829</v>
      </c>
      <c r="B21" s="191">
        <v>1176.79</v>
      </c>
      <c r="C21" s="208"/>
      <c r="D21" s="165"/>
      <c r="E21" s="165"/>
      <c r="F21" s="169"/>
      <c r="G21" s="211">
        <f t="shared" si="0"/>
        <v>1176.79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208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351127.39999999997</v>
      </c>
      <c r="C37" s="173">
        <f t="shared" si="1"/>
        <v>52984.619999999995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404112.01999999996</v>
      </c>
    </row>
    <row r="38" spans="1:7" ht="20.45" customHeight="1">
      <c r="A38" s="468" t="s">
        <v>152</v>
      </c>
      <c r="B38" s="175">
        <f>SUM(B37+C37)-C53</f>
        <v>404112.01999999996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497336.62999999995</v>
      </c>
      <c r="C41" s="183"/>
      <c r="D41" s="183"/>
      <c r="E41" s="183"/>
      <c r="F41" s="392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>
        <v>43805</v>
      </c>
      <c r="B44" s="190">
        <f>3477.6+1364.5+11475+2550+14663.13+7780.8+765.17+765.17+765.17+765.17+765.17+12781.96+8536.2+6678.8+6528.4+2766.4+2669+6440.8+4453.03+3231+2333.74+3165.5+3241.92+665.95+1753</f>
        <v>110382.57999999999</v>
      </c>
      <c r="C44" s="243"/>
      <c r="D44" s="247"/>
      <c r="E44" s="192"/>
      <c r="F44" s="193"/>
      <c r="G44" s="185"/>
    </row>
    <row r="45" spans="1:7" ht="15" customHeight="1">
      <c r="A45" s="194">
        <v>43811</v>
      </c>
      <c r="B45" s="251">
        <f>8536.2+3765.9+4305.6+14679.5+8536.2+8536.2+9879.92+3506+3536.64+6440.8+2966.51+577.8+11243+1023.96+3368+673.6+765.17+7780.8+7162.9+665.95+765.17+4440.7+4564.55+2184+765.17+765.17+6974.9</f>
        <v>128410.31</v>
      </c>
      <c r="C45" s="251"/>
      <c r="D45" s="247"/>
      <c r="E45" s="192"/>
      <c r="F45" s="196"/>
      <c r="G45" s="185"/>
    </row>
    <row r="46" spans="1:7">
      <c r="A46" s="194">
        <v>43819</v>
      </c>
      <c r="B46" s="191">
        <f>765.17+7617.6+8429.2+701.2+7113.6+5823.53+7113.6+4701.84+7245.9+3567.64+3536.64+8925+4041.6+1659.84+9914+765.17+14177+2766.4+799.14+765.17+765.17+765.17+8536.2+4305.6+3560.6+10670.25+10670.25</f>
        <v>139702.48000000001</v>
      </c>
      <c r="C46" s="252"/>
      <c r="D46" s="247"/>
      <c r="E46" s="192"/>
      <c r="F46" s="191"/>
      <c r="G46" s="185"/>
    </row>
    <row r="47" spans="1:7">
      <c r="A47" s="198">
        <v>43826</v>
      </c>
      <c r="B47" s="191">
        <f>826.3+8358.27+7245.9+7113.6+4742.4+826.3+4305.6+826.3+826.3+3239.75+8536.2+765.17+975+3689.4+4868.4+8536.2+7113.6+493.47+7073.28+17030.2+9914.01</f>
        <v>107305.65000000001</v>
      </c>
      <c r="C47" s="253"/>
      <c r="D47" s="247"/>
      <c r="E47" s="192"/>
      <c r="F47" s="191"/>
      <c r="G47" s="185"/>
    </row>
    <row r="48" spans="1:7">
      <c r="A48" s="198">
        <v>43829</v>
      </c>
      <c r="B48" s="191">
        <v>275.72000000000003</v>
      </c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8"/>
      <c r="B50" s="195"/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>
      <c r="A52" s="198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SUM(B44:B52)-D37</f>
        <v>486076.74</v>
      </c>
      <c r="C53" s="246">
        <f>SUM(C44:C52)</f>
        <v>0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11259.889999999956</v>
      </c>
      <c r="C54" s="246"/>
      <c r="D54" s="250">
        <f>B54</f>
        <v>11259.889999999956</v>
      </c>
      <c r="E54" s="183"/>
      <c r="F54" s="173">
        <f>SUM(F44:F53)</f>
        <v>0</v>
      </c>
      <c r="G54" s="185"/>
    </row>
    <row r="56" spans="1:7">
      <c r="D56" s="469"/>
    </row>
    <row r="57" spans="1:7">
      <c r="D57" s="4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8" workbookViewId="0">
      <selection activeCell="D55" sqref="D55"/>
    </sheetView>
  </sheetViews>
  <sheetFormatPr defaultRowHeight="12.75"/>
  <cols>
    <col min="1" max="1" width="12.7109375" customWidth="1"/>
    <col min="2" max="2" width="15" customWidth="1"/>
    <col min="3" max="3" width="13.7109375" customWidth="1"/>
    <col min="4" max="4" width="10.42578125" customWidth="1"/>
    <col min="5" max="5" width="11.140625" customWidth="1"/>
    <col min="6" max="6" width="12.28515625" customWidth="1"/>
    <col min="7" max="7" width="10.8554687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33.75">
      <c r="A3" s="149" t="s">
        <v>124</v>
      </c>
      <c r="B3" s="150" t="s">
        <v>125</v>
      </c>
      <c r="C3" s="151" t="s">
        <v>126</v>
      </c>
      <c r="D3" s="151" t="s">
        <v>197</v>
      </c>
      <c r="E3" s="151" t="s">
        <v>194</v>
      </c>
      <c r="F3" s="150" t="s">
        <v>129</v>
      </c>
      <c r="G3" s="211" t="s">
        <v>102</v>
      </c>
    </row>
    <row r="4" spans="1:7" ht="15.75">
      <c r="A4" s="205" t="s">
        <v>106</v>
      </c>
      <c r="B4" s="152">
        <v>114993.94000000006</v>
      </c>
      <c r="C4" s="241"/>
      <c r="D4" s="204"/>
      <c r="E4" s="242"/>
      <c r="F4" s="242"/>
      <c r="G4" s="212">
        <f>B4+F4</f>
        <v>114993.94000000006</v>
      </c>
    </row>
    <row r="5" spans="1:7">
      <c r="A5" s="154">
        <v>43770</v>
      </c>
      <c r="B5" s="155"/>
      <c r="C5" s="155"/>
      <c r="D5" s="156"/>
      <c r="E5" s="157"/>
      <c r="F5" s="158"/>
      <c r="G5" s="211">
        <f t="shared" ref="G5:G36" si="0">SUM(B5:F5)</f>
        <v>0</v>
      </c>
    </row>
    <row r="6" spans="1:7">
      <c r="A6" s="154">
        <v>43774</v>
      </c>
      <c r="B6" s="155">
        <v>3315.77</v>
      </c>
      <c r="C6" s="155"/>
      <c r="D6" s="157"/>
      <c r="E6" s="157"/>
      <c r="F6" s="159"/>
      <c r="G6" s="211">
        <f t="shared" si="0"/>
        <v>3315.77</v>
      </c>
    </row>
    <row r="7" spans="1:7">
      <c r="A7" s="154">
        <v>43776</v>
      </c>
      <c r="B7" s="155">
        <v>35329.75</v>
      </c>
      <c r="C7" s="160">
        <v>3226.95</v>
      </c>
      <c r="D7" s="156"/>
      <c r="E7" s="155"/>
      <c r="F7" s="159"/>
      <c r="G7" s="211">
        <f t="shared" si="0"/>
        <v>38556.699999999997</v>
      </c>
    </row>
    <row r="8" spans="1:7">
      <c r="A8" s="161">
        <v>43775</v>
      </c>
      <c r="B8" s="155">
        <v>34467.35</v>
      </c>
      <c r="C8" s="155"/>
      <c r="D8" s="162"/>
      <c r="E8" s="162"/>
      <c r="F8" s="159"/>
      <c r="G8" s="211">
        <f t="shared" si="0"/>
        <v>34467.35</v>
      </c>
    </row>
    <row r="9" spans="1:7">
      <c r="A9" s="161">
        <v>43777</v>
      </c>
      <c r="B9" s="155">
        <v>32766.74</v>
      </c>
      <c r="C9" s="155">
        <v>6946.64</v>
      </c>
      <c r="D9" s="162"/>
      <c r="E9" s="162"/>
      <c r="F9" s="159"/>
      <c r="G9" s="211">
        <f t="shared" si="0"/>
        <v>39713.380000000005</v>
      </c>
    </row>
    <row r="10" spans="1:7">
      <c r="A10" s="161">
        <v>43780</v>
      </c>
      <c r="B10" s="155">
        <f>46918.35+11845.91</f>
        <v>58764.259999999995</v>
      </c>
      <c r="C10" s="155">
        <f>936.43+8310.44</f>
        <v>9246.8700000000008</v>
      </c>
      <c r="D10" s="162"/>
      <c r="E10" s="162"/>
      <c r="F10" s="159"/>
      <c r="G10" s="211">
        <f t="shared" si="0"/>
        <v>68011.12999999999</v>
      </c>
    </row>
    <row r="11" spans="1:7">
      <c r="A11" s="161">
        <v>43781</v>
      </c>
      <c r="B11" s="155">
        <v>21427.34</v>
      </c>
      <c r="C11" s="155"/>
      <c r="D11" s="162"/>
      <c r="E11" s="162"/>
      <c r="F11" s="158"/>
      <c r="G11" s="211">
        <f t="shared" si="0"/>
        <v>21427.34</v>
      </c>
    </row>
    <row r="12" spans="1:7">
      <c r="A12" s="161">
        <v>43782</v>
      </c>
      <c r="B12" s="155">
        <v>33332.86</v>
      </c>
      <c r="C12" s="155">
        <v>5661.18</v>
      </c>
      <c r="D12" s="162"/>
      <c r="E12" s="162"/>
      <c r="F12" s="158"/>
      <c r="G12" s="211">
        <f t="shared" si="0"/>
        <v>38994.04</v>
      </c>
    </row>
    <row r="13" spans="1:7" ht="11.45" customHeight="1">
      <c r="A13" s="161">
        <v>43783</v>
      </c>
      <c r="B13" s="155">
        <v>24432.45</v>
      </c>
      <c r="C13" s="155"/>
      <c r="D13" s="163"/>
      <c r="E13" s="162"/>
      <c r="F13" s="158"/>
      <c r="G13" s="211">
        <f t="shared" si="0"/>
        <v>24432.45</v>
      </c>
    </row>
    <row r="14" spans="1:7">
      <c r="A14" s="161">
        <v>43784</v>
      </c>
      <c r="B14" s="155">
        <v>17345.349999999999</v>
      </c>
      <c r="C14" s="155">
        <v>3234.96</v>
      </c>
      <c r="D14" s="162"/>
      <c r="E14" s="162"/>
      <c r="F14" s="158"/>
      <c r="G14" s="211">
        <f t="shared" si="0"/>
        <v>20580.309999999998</v>
      </c>
    </row>
    <row r="15" spans="1:7">
      <c r="A15" s="161">
        <v>43787</v>
      </c>
      <c r="B15" s="155">
        <f>30393.83+4984.39</f>
        <v>35378.22</v>
      </c>
      <c r="C15" s="155">
        <f>2979.57+681.04</f>
        <v>3660.61</v>
      </c>
      <c r="D15" s="162"/>
      <c r="E15" s="162"/>
      <c r="F15" s="159"/>
      <c r="G15" s="211">
        <f t="shared" si="0"/>
        <v>39038.83</v>
      </c>
    </row>
    <row r="16" spans="1:7">
      <c r="A16" s="161">
        <v>43788</v>
      </c>
      <c r="B16" s="155">
        <v>10215.67</v>
      </c>
      <c r="C16" s="160"/>
      <c r="D16" s="165"/>
      <c r="E16" s="165"/>
      <c r="F16" s="166"/>
      <c r="G16" s="211">
        <f t="shared" si="0"/>
        <v>10215.67</v>
      </c>
    </row>
    <row r="17" spans="1:7">
      <c r="A17" s="161">
        <v>43789</v>
      </c>
      <c r="B17" s="207">
        <v>11860.81</v>
      </c>
      <c r="C17" s="208">
        <v>681.04</v>
      </c>
      <c r="D17" s="165"/>
      <c r="E17" s="165"/>
      <c r="F17" s="166"/>
      <c r="G17" s="211">
        <f t="shared" si="0"/>
        <v>12541.849999999999</v>
      </c>
    </row>
    <row r="18" spans="1:7">
      <c r="A18" s="161">
        <v>43790</v>
      </c>
      <c r="B18" s="207">
        <v>9826.2800000000007</v>
      </c>
      <c r="C18" s="208">
        <v>1276.96</v>
      </c>
      <c r="D18" s="165"/>
      <c r="E18" s="165"/>
      <c r="F18" s="166"/>
      <c r="G18" s="211">
        <f t="shared" si="0"/>
        <v>11103.240000000002</v>
      </c>
    </row>
    <row r="19" spans="1:7">
      <c r="A19" s="161">
        <v>43791</v>
      </c>
      <c r="B19" s="191">
        <v>7321.23</v>
      </c>
      <c r="C19" s="208"/>
      <c r="D19" s="165"/>
      <c r="E19" s="165"/>
      <c r="F19" s="166"/>
      <c r="G19" s="211">
        <f t="shared" si="0"/>
        <v>7321.23</v>
      </c>
    </row>
    <row r="20" spans="1:7">
      <c r="A20" s="161">
        <v>43794</v>
      </c>
      <c r="B20" s="191">
        <v>17716.54</v>
      </c>
      <c r="C20" s="209">
        <f>2153.8+3064.7</f>
        <v>5218.5</v>
      </c>
      <c r="D20" s="168"/>
      <c r="E20" s="165"/>
      <c r="F20" s="166"/>
      <c r="G20" s="211">
        <f t="shared" si="0"/>
        <v>22935.040000000001</v>
      </c>
    </row>
    <row r="21" spans="1:7">
      <c r="A21" s="161">
        <v>43795</v>
      </c>
      <c r="B21" s="191">
        <v>8305.27</v>
      </c>
      <c r="C21" s="208"/>
      <c r="D21" s="165"/>
      <c r="E21" s="165"/>
      <c r="F21" s="169"/>
      <c r="G21" s="211">
        <f t="shared" si="0"/>
        <v>8305.27</v>
      </c>
    </row>
    <row r="22" spans="1:7">
      <c r="A22" s="161">
        <v>43796</v>
      </c>
      <c r="B22" s="191">
        <v>766.17</v>
      </c>
      <c r="C22" s="208"/>
      <c r="D22" s="165"/>
      <c r="E22" s="165"/>
      <c r="F22" s="170"/>
      <c r="G22" s="211">
        <f t="shared" si="0"/>
        <v>766.17</v>
      </c>
    </row>
    <row r="23" spans="1:7">
      <c r="A23" s="161">
        <v>43797</v>
      </c>
      <c r="B23" s="191">
        <v>2012.46</v>
      </c>
      <c r="C23" s="208"/>
      <c r="D23" s="165"/>
      <c r="E23" s="165"/>
      <c r="F23" s="170"/>
      <c r="G23" s="211">
        <f t="shared" si="0"/>
        <v>2012.46</v>
      </c>
    </row>
    <row r="24" spans="1:7">
      <c r="A24" s="161">
        <v>43798</v>
      </c>
      <c r="B24" s="191">
        <v>2558.17</v>
      </c>
      <c r="C24" s="208">
        <v>1362.09</v>
      </c>
      <c r="D24" s="165"/>
      <c r="E24" s="165"/>
      <c r="F24" s="170"/>
      <c r="G24" s="211">
        <f t="shared" si="0"/>
        <v>3920.26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208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367142.69</v>
      </c>
      <c r="C37" s="173">
        <f t="shared" si="1"/>
        <v>40515.799999999996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407658.48999999993</v>
      </c>
    </row>
    <row r="38" spans="1:7" ht="20.45" customHeight="1">
      <c r="A38" s="468" t="s">
        <v>152</v>
      </c>
      <c r="B38" s="175">
        <f>SUM(B37+C37)-C53</f>
        <v>404954.58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519948.52000000008</v>
      </c>
      <c r="C41" s="183"/>
      <c r="D41" s="183"/>
      <c r="E41" s="183"/>
      <c r="F41" s="392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>
        <v>43775</v>
      </c>
      <c r="B44" s="190"/>
      <c r="C44" s="243">
        <f>1491.81+1212.1</f>
        <v>2703.91</v>
      </c>
      <c r="D44" s="247"/>
      <c r="E44" s="192"/>
      <c r="F44" s="193"/>
      <c r="G44" s="185"/>
    </row>
    <row r="45" spans="1:7" ht="15" customHeight="1">
      <c r="A45" s="194">
        <v>43781</v>
      </c>
      <c r="B45" s="251">
        <f>1050+1290+3174+1358.5+3437.1+2568.9+2555.65+3241.92+3241.92+3743.75+5469.15+765.17+765.17+765.17+765.17+765.17+765.17+2134.05+8536.2+8536.2+8536.2+12783.2+4715.2+4715.2+6440.8+6440.8+665.95+665.95+3477.6+3477.6+1976+2766.4+6678.8+6923.6+1753+1753+7780.8+7931.2+7931.2+8007</f>
        <v>160347.86000000002</v>
      </c>
      <c r="C45" s="251"/>
      <c r="D45" s="247"/>
      <c r="E45" s="192"/>
      <c r="F45" s="196"/>
      <c r="G45" s="185"/>
    </row>
    <row r="46" spans="1:7">
      <c r="A46" s="194">
        <v>43789</v>
      </c>
      <c r="B46" s="191">
        <f>3958.5+3241.92+665.95+8536.2+6440.8+1347.2+6528.4+765.17+1155.6+765.17+2590.09+765.17+8536.2+3477.6+6402.15+10200+7074+765.17+1976+3518.35+1753+3368+765.17+7780.8</f>
        <v>92376.61</v>
      </c>
      <c r="C46" s="252"/>
      <c r="D46" s="247"/>
      <c r="E46" s="192"/>
      <c r="F46" s="191"/>
      <c r="G46" s="185"/>
    </row>
    <row r="47" spans="1:7">
      <c r="A47" s="198">
        <v>43796</v>
      </c>
      <c r="B47" s="191">
        <f>2957.85+3536.64+7931.2+11297.16+765.17+765.17+765.17+765.17+765.17+765.17+8536.2+8536.2+8536.2+6678.8+6528.4+6678.8+2766.4+3311.1+2184+4520.8+4238.88+3472.72+1846+4715.2+2597.38+665.95+3506+6440.8+7780.8+2763.1+4500</f>
        <v>131117.6</v>
      </c>
      <c r="C47" s="253"/>
      <c r="D47" s="247"/>
      <c r="E47" s="192"/>
      <c r="F47" s="191"/>
      <c r="G47" s="185"/>
    </row>
    <row r="48" spans="1:7">
      <c r="A48" s="198">
        <v>43798</v>
      </c>
      <c r="B48" s="191">
        <f>8536.2+765.17+1971.9+11760+765.17+7780.8+8536.2+2766.4</f>
        <v>42881.840000000004</v>
      </c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8"/>
      <c r="B50" s="195"/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>
      <c r="A52" s="198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SUM(B44:B52)-D37</f>
        <v>426723.91000000009</v>
      </c>
      <c r="C53" s="246">
        <f>SUM(C44:C52)</f>
        <v>2703.91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93224.609999999986</v>
      </c>
      <c r="C54" s="246"/>
      <c r="D54" s="250">
        <f>B54</f>
        <v>93224.609999999986</v>
      </c>
      <c r="E54" s="183"/>
      <c r="F54" s="173">
        <f>SUM(F44:F53)</f>
        <v>0</v>
      </c>
      <c r="G54" s="185"/>
    </row>
    <row r="56" spans="1:7">
      <c r="D56" s="469"/>
    </row>
    <row r="57" spans="1:7">
      <c r="D57" s="4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5" workbookViewId="0">
      <selection activeCell="B38" sqref="B38"/>
    </sheetView>
  </sheetViews>
  <sheetFormatPr defaultRowHeight="12.75"/>
  <cols>
    <col min="1" max="1" width="12.7109375" customWidth="1"/>
    <col min="2" max="2" width="15" customWidth="1"/>
    <col min="3" max="3" width="13.7109375" customWidth="1"/>
    <col min="4" max="4" width="10.42578125" customWidth="1"/>
    <col min="5" max="5" width="11.140625" customWidth="1"/>
    <col min="6" max="6" width="12.28515625" customWidth="1"/>
    <col min="7" max="7" width="10.8554687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33.75">
      <c r="A3" s="149" t="s">
        <v>124</v>
      </c>
      <c r="B3" s="150" t="s">
        <v>125</v>
      </c>
      <c r="C3" s="151" t="s">
        <v>126</v>
      </c>
      <c r="D3" s="151" t="s">
        <v>197</v>
      </c>
      <c r="E3" s="151" t="s">
        <v>194</v>
      </c>
      <c r="F3" s="150" t="s">
        <v>129</v>
      </c>
      <c r="G3" s="211" t="s">
        <v>102</v>
      </c>
    </row>
    <row r="4" spans="1:7" ht="15.75">
      <c r="A4" s="205" t="s">
        <v>106</v>
      </c>
      <c r="B4" s="152">
        <v>167452.31000000006</v>
      </c>
      <c r="C4" s="241"/>
      <c r="D4" s="204"/>
      <c r="E4" s="242"/>
      <c r="F4" s="242"/>
      <c r="G4" s="212">
        <f>B4+F4</f>
        <v>167452.31000000006</v>
      </c>
    </row>
    <row r="5" spans="1:7">
      <c r="A5" s="154">
        <v>43739</v>
      </c>
      <c r="B5" s="155">
        <v>1603.29</v>
      </c>
      <c r="C5" s="155">
        <v>1025.6199999999999</v>
      </c>
      <c r="D5" s="156"/>
      <c r="E5" s="157"/>
      <c r="F5" s="158"/>
      <c r="G5" s="211">
        <f t="shared" ref="G5:G36" si="0">SUM(B5:F5)</f>
        <v>2628.91</v>
      </c>
    </row>
    <row r="6" spans="1:7">
      <c r="A6" s="154">
        <v>43740</v>
      </c>
      <c r="B6" s="155">
        <f>1362.09+9199.47</f>
        <v>10561.56</v>
      </c>
      <c r="C6" s="155"/>
      <c r="D6" s="157"/>
      <c r="E6" s="157"/>
      <c r="F6" s="159"/>
      <c r="G6" s="211">
        <f t="shared" si="0"/>
        <v>10561.56</v>
      </c>
    </row>
    <row r="7" spans="1:7">
      <c r="A7" s="154">
        <v>43741</v>
      </c>
      <c r="B7" s="155">
        <v>26363.82</v>
      </c>
      <c r="C7" s="160"/>
      <c r="D7" s="156"/>
      <c r="E7" s="155"/>
      <c r="F7" s="159"/>
      <c r="G7" s="211">
        <f t="shared" si="0"/>
        <v>26363.82</v>
      </c>
    </row>
    <row r="8" spans="1:7">
      <c r="A8" s="161">
        <v>43742</v>
      </c>
      <c r="B8" s="155">
        <v>13510.19</v>
      </c>
      <c r="C8" s="155">
        <v>5664.22</v>
      </c>
      <c r="D8" s="162"/>
      <c r="E8" s="162"/>
      <c r="F8" s="159"/>
      <c r="G8" s="211">
        <f t="shared" si="0"/>
        <v>19174.41</v>
      </c>
    </row>
    <row r="9" spans="1:7">
      <c r="A9" s="161">
        <v>43745</v>
      </c>
      <c r="B9" s="155">
        <f>7086.09+38511.55</f>
        <v>45597.64</v>
      </c>
      <c r="C9" s="155">
        <f>1958+3263.33</f>
        <v>5221.33</v>
      </c>
      <c r="D9" s="162"/>
      <c r="E9" s="162"/>
      <c r="F9" s="159"/>
      <c r="G9" s="211">
        <f t="shared" si="0"/>
        <v>50818.97</v>
      </c>
    </row>
    <row r="10" spans="1:7">
      <c r="A10" s="161">
        <v>43746</v>
      </c>
      <c r="B10" s="155">
        <v>18228.22</v>
      </c>
      <c r="C10" s="155"/>
      <c r="D10" s="162"/>
      <c r="E10" s="162"/>
      <c r="F10" s="159"/>
      <c r="G10" s="211">
        <f t="shared" si="0"/>
        <v>18228.22</v>
      </c>
    </row>
    <row r="11" spans="1:7">
      <c r="A11" s="161">
        <v>43747</v>
      </c>
      <c r="B11" s="155">
        <v>13228.18</v>
      </c>
      <c r="C11" s="155">
        <v>6153.71</v>
      </c>
      <c r="D11" s="162"/>
      <c r="E11" s="162"/>
      <c r="F11" s="158"/>
      <c r="G11" s="211">
        <f t="shared" si="0"/>
        <v>19381.89</v>
      </c>
    </row>
    <row r="12" spans="1:7">
      <c r="A12" s="161">
        <v>43748</v>
      </c>
      <c r="B12" s="155">
        <v>24946.799999999999</v>
      </c>
      <c r="C12" s="155">
        <v>1025.6199999999999</v>
      </c>
      <c r="D12" s="162"/>
      <c r="E12" s="162"/>
      <c r="F12" s="158"/>
      <c r="G12" s="211">
        <f t="shared" si="0"/>
        <v>25972.42</v>
      </c>
    </row>
    <row r="13" spans="1:7" ht="11.45" customHeight="1">
      <c r="A13" s="161">
        <v>43749</v>
      </c>
      <c r="B13" s="155">
        <v>23259.8</v>
      </c>
      <c r="C13" s="155">
        <v>6060.48</v>
      </c>
      <c r="D13" s="163"/>
      <c r="E13" s="162"/>
      <c r="F13" s="158"/>
      <c r="G13" s="211">
        <f t="shared" si="0"/>
        <v>29320.28</v>
      </c>
    </row>
    <row r="14" spans="1:7">
      <c r="A14" s="161">
        <v>43752</v>
      </c>
      <c r="B14" s="155">
        <f>9836.11+31264.99</f>
        <v>41101.100000000006</v>
      </c>
      <c r="C14" s="155">
        <f>3461.3+11116.52</f>
        <v>14577.82</v>
      </c>
      <c r="D14" s="162"/>
      <c r="E14" s="162"/>
      <c r="F14" s="158"/>
      <c r="G14" s="211">
        <f t="shared" si="0"/>
        <v>55678.920000000006</v>
      </c>
    </row>
    <row r="15" spans="1:7">
      <c r="A15" s="161">
        <v>43753</v>
      </c>
      <c r="B15" s="155">
        <v>23150.89</v>
      </c>
      <c r="C15" s="160"/>
      <c r="D15" s="162"/>
      <c r="E15" s="162"/>
      <c r="F15" s="159"/>
      <c r="G15" s="211">
        <f t="shared" si="0"/>
        <v>23150.89</v>
      </c>
    </row>
    <row r="16" spans="1:7">
      <c r="A16" s="161">
        <v>43754</v>
      </c>
      <c r="B16" s="155">
        <v>6246.95</v>
      </c>
      <c r="C16" s="160">
        <v>28770.31</v>
      </c>
      <c r="D16" s="165"/>
      <c r="E16" s="165"/>
      <c r="F16" s="166"/>
      <c r="G16" s="211">
        <f t="shared" si="0"/>
        <v>35017.26</v>
      </c>
    </row>
    <row r="17" spans="1:7">
      <c r="A17" s="161">
        <v>43755</v>
      </c>
      <c r="B17" s="207">
        <v>23165.01</v>
      </c>
      <c r="C17" s="208">
        <v>5788.87</v>
      </c>
      <c r="D17" s="165"/>
      <c r="E17" s="165"/>
      <c r="F17" s="166"/>
      <c r="G17" s="211">
        <f t="shared" si="0"/>
        <v>28953.879999999997</v>
      </c>
    </row>
    <row r="18" spans="1:7">
      <c r="A18" s="161">
        <v>43756</v>
      </c>
      <c r="B18" s="207">
        <v>4767.3100000000004</v>
      </c>
      <c r="C18" s="208">
        <v>2890.38</v>
      </c>
      <c r="D18" s="165"/>
      <c r="E18" s="165"/>
      <c r="F18" s="166"/>
      <c r="G18" s="211">
        <f t="shared" si="0"/>
        <v>7657.6900000000005</v>
      </c>
    </row>
    <row r="19" spans="1:7">
      <c r="A19" s="161">
        <v>43759</v>
      </c>
      <c r="B19" s="191">
        <f>3263.34+11654.75</f>
        <v>14918.09</v>
      </c>
      <c r="C19" s="208">
        <v>2809.3</v>
      </c>
      <c r="D19" s="165"/>
      <c r="E19" s="165"/>
      <c r="F19" s="166"/>
      <c r="G19" s="211">
        <f t="shared" si="0"/>
        <v>17727.39</v>
      </c>
    </row>
    <row r="20" spans="1:7">
      <c r="A20" s="161">
        <v>43760</v>
      </c>
      <c r="B20" s="191">
        <v>4629.2700000000004</v>
      </c>
      <c r="C20" s="209"/>
      <c r="D20" s="168"/>
      <c r="E20" s="165"/>
      <c r="F20" s="166"/>
      <c r="G20" s="211">
        <f t="shared" si="0"/>
        <v>4629.2700000000004</v>
      </c>
    </row>
    <row r="21" spans="1:7">
      <c r="A21" s="161">
        <v>43761</v>
      </c>
      <c r="B21" s="191">
        <v>5748.13</v>
      </c>
      <c r="C21" s="208"/>
      <c r="D21" s="165"/>
      <c r="E21" s="165"/>
      <c r="F21" s="169"/>
      <c r="G21" s="211">
        <f t="shared" si="0"/>
        <v>5748.13</v>
      </c>
    </row>
    <row r="22" spans="1:7">
      <c r="A22" s="161">
        <v>43762</v>
      </c>
      <c r="B22" s="191">
        <v>5894.27</v>
      </c>
      <c r="C22" s="208"/>
      <c r="D22" s="165"/>
      <c r="E22" s="165"/>
      <c r="F22" s="170"/>
      <c r="G22" s="211">
        <f t="shared" si="0"/>
        <v>5894.27</v>
      </c>
    </row>
    <row r="23" spans="1:7">
      <c r="A23" s="161">
        <v>43763</v>
      </c>
      <c r="B23" s="191">
        <v>1664.3</v>
      </c>
      <c r="C23" s="208"/>
      <c r="D23" s="165"/>
      <c r="E23" s="165"/>
      <c r="F23" s="170"/>
      <c r="G23" s="211">
        <f t="shared" si="0"/>
        <v>1664.3</v>
      </c>
    </row>
    <row r="24" spans="1:7">
      <c r="A24" s="161">
        <v>43766</v>
      </c>
      <c r="B24" s="191">
        <f>1771.52+5501.05</f>
        <v>7272.57</v>
      </c>
      <c r="C24" s="208">
        <v>3782.02</v>
      </c>
      <c r="D24" s="165"/>
      <c r="E24" s="165"/>
      <c r="F24" s="170"/>
      <c r="G24" s="211">
        <f t="shared" si="0"/>
        <v>11054.59</v>
      </c>
    </row>
    <row r="25" spans="1:7">
      <c r="A25" s="161">
        <v>43767</v>
      </c>
      <c r="B25" s="191">
        <v>1500</v>
      </c>
      <c r="C25" s="208"/>
      <c r="D25" s="165"/>
      <c r="E25" s="165"/>
      <c r="F25" s="170"/>
      <c r="G25" s="211">
        <f t="shared" si="0"/>
        <v>1500</v>
      </c>
    </row>
    <row r="26" spans="1:7">
      <c r="A26" s="161">
        <v>43768</v>
      </c>
      <c r="B26" s="191">
        <v>279.70999999999998</v>
      </c>
      <c r="C26" s="208"/>
      <c r="D26" s="208"/>
      <c r="E26" s="165"/>
      <c r="F26" s="170"/>
      <c r="G26" s="211">
        <f t="shared" si="0"/>
        <v>279.70999999999998</v>
      </c>
    </row>
    <row r="27" spans="1:7">
      <c r="A27" s="161">
        <v>43769</v>
      </c>
      <c r="B27" s="191">
        <v>1398.57</v>
      </c>
      <c r="C27" s="208"/>
      <c r="D27" s="165"/>
      <c r="E27" s="165"/>
      <c r="F27" s="170"/>
      <c r="G27" s="211">
        <f t="shared" si="0"/>
        <v>1398.57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319035.6700000001</v>
      </c>
      <c r="C37" s="173">
        <f t="shared" si="1"/>
        <v>83769.680000000008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402805.35000000015</v>
      </c>
    </row>
    <row r="38" spans="1:7" ht="20.45" customHeight="1">
      <c r="A38" s="468" t="s">
        <v>152</v>
      </c>
      <c r="B38" s="175">
        <f>SUM(B37+C37)-C53</f>
        <v>401981.07000000007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569433.38000000012</v>
      </c>
      <c r="C41" s="183"/>
      <c r="D41" s="183"/>
      <c r="E41" s="183"/>
      <c r="F41" s="392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 t="s">
        <v>199</v>
      </c>
      <c r="B44" s="190"/>
      <c r="C44" s="243">
        <v>389.17</v>
      </c>
      <c r="D44" s="247"/>
      <c r="E44" s="192"/>
      <c r="F44" s="193"/>
      <c r="G44" s="185"/>
    </row>
    <row r="45" spans="1:7" ht="15" customHeight="1">
      <c r="A45" s="194">
        <v>43746</v>
      </c>
      <c r="B45" s="251">
        <f>6528.4+765.17+765.17+5635.7+7931.2+7780.8+3200+5830.78+665.95+7074+1976+4041.6+2900+2550+4111.8+3536.64+765.17+3477.6+4006.87+765.17+2852+665.95+2694.4+3943.8+2910.21+765.17+1155.6+1364.5+765.17</f>
        <v>91424.82</v>
      </c>
      <c r="C45" s="251"/>
      <c r="D45" s="247"/>
      <c r="E45" s="192"/>
      <c r="F45" s="196"/>
      <c r="G45" s="185"/>
    </row>
    <row r="46" spans="1:7">
      <c r="A46" s="194">
        <v>43754</v>
      </c>
      <c r="B46" s="191">
        <f>7931.2+1850+765.17+5635.7+765.17+3368+5738+3969.77+8536.2+2550+765.17+3477.6+765.17+765.17+8536.2+7931.2+6402.15+399.57+765.17+3536.64+1050+2014.05+7780.8+2499.52+5935+3064.38+6678.8+4406.89+3506</f>
        <v>111388.69</v>
      </c>
      <c r="C46" s="252"/>
      <c r="D46" s="247"/>
      <c r="E46" s="192"/>
      <c r="F46" s="191"/>
      <c r="G46" s="185"/>
    </row>
    <row r="47" spans="1:7">
      <c r="A47" s="198">
        <v>43760</v>
      </c>
      <c r="B47" s="191">
        <f>1001.48</f>
        <v>1001.48</v>
      </c>
      <c r="C47" s="253">
        <v>435.11</v>
      </c>
      <c r="D47" s="247"/>
      <c r="E47" s="192"/>
      <c r="F47" s="191"/>
      <c r="G47" s="185"/>
    </row>
    <row r="48" spans="1:7">
      <c r="A48" s="198">
        <v>43762</v>
      </c>
      <c r="B48" s="195">
        <f>5635.7+1976+765.17+8536.2+1753+1092+665.95+765.17+765.17+7931.2+7780.8+765.17+2526.02+1358.5+12783.2+765.17+7780.8+3241.92+2496+765.17+6133.2+6283.6+5888.4+720+8536.2+3477.6+6402.15+5466.58+1753+6736</f>
        <v>121545.04</v>
      </c>
      <c r="C48" s="251"/>
      <c r="D48" s="247"/>
      <c r="E48" s="192"/>
      <c r="F48" s="191"/>
      <c r="G48" s="185"/>
    </row>
    <row r="49" spans="1:7">
      <c r="A49" s="198">
        <v>43768</v>
      </c>
      <c r="B49" s="195">
        <f>1155.6+2957.85+1846+11297.16+5787.27+3241.92+665.95+3241.5+3368+6402.15+6440.8+10199.77+7100+1738.8+765.17+7851.73+8536.2+8007+765.17+937.8+1091.64+765.17+1976+3368+765.17+7074+6923.6+2602.02</f>
        <v>116871.44</v>
      </c>
      <c r="C49" s="251"/>
      <c r="D49" s="247"/>
      <c r="E49" s="192"/>
      <c r="F49" s="191"/>
      <c r="G49" s="185"/>
    </row>
    <row r="50" spans="1:7">
      <c r="A50" s="198">
        <v>43769</v>
      </c>
      <c r="B50" s="195">
        <f>2906.6+765.17+8536.2</f>
        <v>12207.970000000001</v>
      </c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>
      <c r="A52" s="198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SUM(B44:B52)-D37</f>
        <v>454439.44000000006</v>
      </c>
      <c r="C53" s="246">
        <f>SUM(C44:C52)</f>
        <v>824.28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114993.94000000006</v>
      </c>
      <c r="C54" s="246"/>
      <c r="D54" s="250">
        <f>B54</f>
        <v>114993.94000000006</v>
      </c>
      <c r="E54" s="183"/>
      <c r="F54" s="173">
        <f>SUM(F44:F53)</f>
        <v>0</v>
      </c>
      <c r="G54" s="185"/>
    </row>
    <row r="56" spans="1:7">
      <c r="D56" s="469"/>
    </row>
    <row r="57" spans="1:7">
      <c r="D57" s="4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4" workbookViewId="0">
      <selection activeCell="C48" sqref="C48"/>
    </sheetView>
  </sheetViews>
  <sheetFormatPr defaultRowHeight="12.75"/>
  <cols>
    <col min="1" max="1" width="12.7109375" customWidth="1"/>
    <col min="2" max="2" width="15" customWidth="1"/>
    <col min="3" max="3" width="13.7109375" customWidth="1"/>
    <col min="4" max="4" width="10.42578125" customWidth="1"/>
    <col min="5" max="5" width="11.140625" customWidth="1"/>
    <col min="6" max="6" width="12.28515625" customWidth="1"/>
    <col min="7" max="7" width="10.8554687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33.75">
      <c r="A3" s="149" t="s">
        <v>124</v>
      </c>
      <c r="B3" s="150" t="s">
        <v>125</v>
      </c>
      <c r="C3" s="151" t="s">
        <v>126</v>
      </c>
      <c r="D3" s="151" t="s">
        <v>197</v>
      </c>
      <c r="E3" s="151" t="s">
        <v>194</v>
      </c>
      <c r="F3" s="150" t="s">
        <v>129</v>
      </c>
      <c r="G3" s="211" t="s">
        <v>102</v>
      </c>
    </row>
    <row r="4" spans="1:7" ht="15.75">
      <c r="A4" s="205" t="s">
        <v>106</v>
      </c>
      <c r="B4" s="152">
        <v>188084.31</v>
      </c>
      <c r="C4" s="241"/>
      <c r="D4" s="204"/>
      <c r="E4" s="242"/>
      <c r="F4" s="242"/>
      <c r="G4" s="212">
        <f>B4+F4</f>
        <v>188084.31</v>
      </c>
    </row>
    <row r="5" spans="1:7">
      <c r="A5" s="154">
        <v>43710</v>
      </c>
      <c r="B5" s="155">
        <v>5362.7</v>
      </c>
      <c r="C5" s="155"/>
      <c r="D5" s="156"/>
      <c r="E5" s="157"/>
      <c r="F5" s="158"/>
      <c r="G5" s="211">
        <f t="shared" ref="G5:G36" si="0">SUM(B5:F5)</f>
        <v>5362.7</v>
      </c>
    </row>
    <row r="6" spans="1:7">
      <c r="A6" s="154">
        <v>43711</v>
      </c>
      <c r="B6" s="155">
        <f>6771.6+510.78</f>
        <v>7282.38</v>
      </c>
      <c r="C6" s="155"/>
      <c r="D6" s="157"/>
      <c r="E6" s="157"/>
      <c r="F6" s="159"/>
      <c r="G6" s="211">
        <f t="shared" si="0"/>
        <v>7282.38</v>
      </c>
    </row>
    <row r="7" spans="1:7">
      <c r="A7" s="154">
        <v>43712</v>
      </c>
      <c r="B7" s="155">
        <v>20161.18</v>
      </c>
      <c r="C7" s="160">
        <v>1751.89</v>
      </c>
      <c r="D7" s="156"/>
      <c r="E7" s="155"/>
      <c r="F7" s="159"/>
      <c r="G7" s="211">
        <f t="shared" si="0"/>
        <v>21913.07</v>
      </c>
    </row>
    <row r="8" spans="1:7">
      <c r="A8" s="161">
        <v>43713</v>
      </c>
      <c r="B8" s="155">
        <v>21062.240000000002</v>
      </c>
      <c r="C8" s="155">
        <v>4511.92</v>
      </c>
      <c r="D8" s="162"/>
      <c r="E8" s="162"/>
      <c r="F8" s="159"/>
      <c r="G8" s="211">
        <f t="shared" si="0"/>
        <v>25574.160000000003</v>
      </c>
    </row>
    <row r="9" spans="1:7">
      <c r="A9" s="161">
        <v>43714</v>
      </c>
      <c r="B9" s="155">
        <v>20901.16</v>
      </c>
      <c r="C9" s="155">
        <v>5780.36</v>
      </c>
      <c r="D9" s="162"/>
      <c r="E9" s="162"/>
      <c r="F9" s="159"/>
      <c r="G9" s="211">
        <f t="shared" si="0"/>
        <v>26681.52</v>
      </c>
    </row>
    <row r="10" spans="1:7">
      <c r="A10" s="161">
        <v>43717</v>
      </c>
      <c r="B10" s="155">
        <f>12066.76+3622.3</f>
        <v>15689.060000000001</v>
      </c>
      <c r="C10" s="155">
        <v>2383.66</v>
      </c>
      <c r="D10" s="162"/>
      <c r="E10" s="162"/>
      <c r="F10" s="159"/>
      <c r="G10" s="211">
        <f t="shared" si="0"/>
        <v>18072.72</v>
      </c>
    </row>
    <row r="11" spans="1:7">
      <c r="A11" s="161">
        <v>43718</v>
      </c>
      <c r="B11" s="155">
        <v>39840.03</v>
      </c>
      <c r="C11" s="155"/>
      <c r="D11" s="162"/>
      <c r="E11" s="162"/>
      <c r="F11" s="158"/>
      <c r="G11" s="211">
        <f t="shared" si="0"/>
        <v>39840.03</v>
      </c>
    </row>
    <row r="12" spans="1:7">
      <c r="A12" s="161">
        <v>43719</v>
      </c>
      <c r="B12" s="155">
        <v>28223.03</v>
      </c>
      <c r="C12" s="155">
        <v>1958</v>
      </c>
      <c r="D12" s="162"/>
      <c r="E12" s="162"/>
      <c r="F12" s="158"/>
      <c r="G12" s="211">
        <f t="shared" si="0"/>
        <v>30181.03</v>
      </c>
    </row>
    <row r="13" spans="1:7" ht="11.45" customHeight="1">
      <c r="A13" s="161">
        <v>43720</v>
      </c>
      <c r="B13" s="155">
        <v>20209</v>
      </c>
      <c r="C13" s="155">
        <v>3414.68</v>
      </c>
      <c r="D13" s="163"/>
      <c r="E13" s="162"/>
      <c r="F13" s="158"/>
      <c r="G13" s="211">
        <f t="shared" si="0"/>
        <v>23623.68</v>
      </c>
    </row>
    <row r="14" spans="1:7">
      <c r="A14" s="161">
        <v>43721</v>
      </c>
      <c r="B14" s="155">
        <v>14616.4</v>
      </c>
      <c r="C14" s="155">
        <v>6044.26</v>
      </c>
      <c r="D14" s="162"/>
      <c r="E14" s="162"/>
      <c r="F14" s="158"/>
      <c r="G14" s="211">
        <f t="shared" si="0"/>
        <v>20660.66</v>
      </c>
    </row>
    <row r="15" spans="1:7">
      <c r="A15" s="161">
        <v>43724</v>
      </c>
      <c r="B15" s="155">
        <f>651.25+29249.91</f>
        <v>29901.16</v>
      </c>
      <c r="C15" s="160">
        <v>595.91</v>
      </c>
      <c r="D15" s="162"/>
      <c r="E15" s="162"/>
      <c r="F15" s="159"/>
      <c r="G15" s="211">
        <f t="shared" si="0"/>
        <v>30497.07</v>
      </c>
    </row>
    <row r="16" spans="1:7">
      <c r="A16" s="161">
        <v>43725</v>
      </c>
      <c r="B16" s="191">
        <v>12927.7</v>
      </c>
      <c r="C16" s="191"/>
      <c r="D16" s="165"/>
      <c r="E16" s="165"/>
      <c r="F16" s="166"/>
      <c r="G16" s="211">
        <f t="shared" si="0"/>
        <v>12927.7</v>
      </c>
    </row>
    <row r="17" spans="1:7">
      <c r="A17" s="161">
        <v>43726</v>
      </c>
      <c r="B17" s="207">
        <v>12727</v>
      </c>
      <c r="C17" s="208">
        <v>4511.91</v>
      </c>
      <c r="D17" s="165"/>
      <c r="E17" s="165"/>
      <c r="F17" s="166"/>
      <c r="G17" s="211">
        <f t="shared" si="0"/>
        <v>17238.91</v>
      </c>
    </row>
    <row r="18" spans="1:7">
      <c r="A18" s="161">
        <v>43727</v>
      </c>
      <c r="B18" s="207">
        <v>4144.3</v>
      </c>
      <c r="C18" s="208">
        <v>1958</v>
      </c>
      <c r="D18" s="165"/>
      <c r="E18" s="165"/>
      <c r="F18" s="166"/>
      <c r="G18" s="211">
        <f t="shared" si="0"/>
        <v>6102.3</v>
      </c>
    </row>
    <row r="19" spans="1:7">
      <c r="A19" s="161">
        <v>43728</v>
      </c>
      <c r="B19" s="191">
        <v>11556.17</v>
      </c>
      <c r="C19" s="208"/>
      <c r="D19" s="165"/>
      <c r="E19" s="165"/>
      <c r="F19" s="166"/>
      <c r="G19" s="211">
        <f t="shared" si="0"/>
        <v>11556.17</v>
      </c>
    </row>
    <row r="20" spans="1:7">
      <c r="A20" s="161">
        <v>43731</v>
      </c>
      <c r="B20" s="191">
        <f>425.65+3834.93</f>
        <v>4260.58</v>
      </c>
      <c r="C20" s="209">
        <v>1872.86</v>
      </c>
      <c r="D20" s="168"/>
      <c r="E20" s="165"/>
      <c r="F20" s="166"/>
      <c r="G20" s="211">
        <f t="shared" si="0"/>
        <v>6133.44</v>
      </c>
    </row>
    <row r="21" spans="1:7">
      <c r="A21" s="161">
        <v>43732</v>
      </c>
      <c r="B21" s="191">
        <v>8217.5300000000007</v>
      </c>
      <c r="C21" s="208">
        <v>1872.87</v>
      </c>
      <c r="D21" s="165"/>
      <c r="E21" s="165"/>
      <c r="F21" s="169"/>
      <c r="G21" s="211">
        <f t="shared" si="0"/>
        <v>10090.400000000001</v>
      </c>
    </row>
    <row r="22" spans="1:7">
      <c r="A22" s="161">
        <v>43733</v>
      </c>
      <c r="B22" s="191">
        <v>3924.53</v>
      </c>
      <c r="C22" s="208"/>
      <c r="D22" s="165"/>
      <c r="E22" s="165"/>
      <c r="F22" s="170"/>
      <c r="G22" s="211">
        <f t="shared" si="0"/>
        <v>3924.53</v>
      </c>
    </row>
    <row r="23" spans="1:7">
      <c r="A23" s="161">
        <v>43734</v>
      </c>
      <c r="B23" s="191">
        <v>11650.04</v>
      </c>
      <c r="C23" s="208">
        <v>6197.28</v>
      </c>
      <c r="D23" s="165"/>
      <c r="E23" s="165"/>
      <c r="F23" s="170"/>
      <c r="G23" s="211">
        <f t="shared" si="0"/>
        <v>17847.32</v>
      </c>
    </row>
    <row r="24" spans="1:7">
      <c r="A24" s="161">
        <v>43735</v>
      </c>
      <c r="B24" s="191">
        <v>10603.51</v>
      </c>
      <c r="C24" s="208"/>
      <c r="D24" s="165"/>
      <c r="E24" s="165"/>
      <c r="F24" s="170"/>
      <c r="G24" s="211">
        <f t="shared" si="0"/>
        <v>10603.51</v>
      </c>
    </row>
    <row r="25" spans="1:7">
      <c r="A25" s="161">
        <v>43738</v>
      </c>
      <c r="B25" s="191">
        <v>6459.36</v>
      </c>
      <c r="C25" s="208">
        <f>1276.96+1212</f>
        <v>2488.96</v>
      </c>
      <c r="D25" s="165"/>
      <c r="E25" s="165"/>
      <c r="F25" s="170"/>
      <c r="G25" s="211">
        <f t="shared" si="0"/>
        <v>8948.32</v>
      </c>
    </row>
    <row r="26" spans="1:7">
      <c r="A26" s="161"/>
      <c r="B26" s="191"/>
      <c r="C26" s="208"/>
      <c r="D26" s="208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309719.06000000006</v>
      </c>
      <c r="C37" s="173">
        <f t="shared" si="1"/>
        <v>45342.560000000005</v>
      </c>
      <c r="D37" s="173">
        <f t="shared" si="1"/>
        <v>0</v>
      </c>
      <c r="E37" s="173">
        <f t="shared" si="1"/>
        <v>0</v>
      </c>
      <c r="F37" s="244">
        <f t="shared" si="1"/>
        <v>0</v>
      </c>
      <c r="G37" s="173">
        <f t="shared" si="1"/>
        <v>355061.62000000005</v>
      </c>
    </row>
    <row r="38" spans="1:7" ht="20.45" customHeight="1">
      <c r="A38" s="468" t="s">
        <v>152</v>
      </c>
      <c r="B38" s="175">
        <f>SUM(B37+C37)-C53</f>
        <v>355061.62000000005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543145.93000000005</v>
      </c>
      <c r="C41" s="183"/>
      <c r="D41" s="183"/>
      <c r="E41" s="183"/>
      <c r="F41" s="392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>
        <v>43714</v>
      </c>
      <c r="B44" s="190">
        <f>4111.8+1738.8+7469.2+7931.2+3161.6+3126.6+3220.4+6528.4+1155.6+673.26+665.95+3506+2582+673.26+300+3241.92+3220.4+673.26+673.26+7931.2+600+3943.8+599.74+2620.56+3493.25+3536.64+7780.8+1125+2443.04+1738.8+3801.96+6451.59+6736</f>
        <v>107455.29000000001</v>
      </c>
      <c r="C44" s="243"/>
      <c r="D44" s="247"/>
      <c r="E44" s="192"/>
      <c r="F44" s="193"/>
      <c r="G44" s="185"/>
    </row>
    <row r="45" spans="1:7" ht="15" customHeight="1">
      <c r="A45" s="194">
        <v>43721</v>
      </c>
      <c r="B45" s="251">
        <f>7780.8+2892.99+6923.6+2669+2766.4+648.25+765.17+7074+6455.23+665.95+765.17+3536.64+1540+11043+6440.8+765.17+765.17+765.17+3477.6+1573.2+6736</f>
        <v>76049.31</v>
      </c>
      <c r="C45" s="251"/>
      <c r="D45" s="247"/>
      <c r="E45" s="192"/>
      <c r="F45" s="196"/>
      <c r="G45" s="185"/>
    </row>
    <row r="46" spans="1:7">
      <c r="A46" s="194">
        <v>43728</v>
      </c>
      <c r="B46" s="191">
        <f>6923.6+765.17+765.17+7931.2+1450+765.17+1036.92+6736+2991.02+1657.93+3477.6+2371.2+3506+765.17+665.95+2371.2+6440.8+765.17+577.91+7074+7780.8+3536.64</f>
        <v>70354.62</v>
      </c>
      <c r="C46" s="252"/>
      <c r="D46" s="247"/>
      <c r="E46" s="192"/>
      <c r="F46" s="191"/>
      <c r="G46" s="185"/>
    </row>
    <row r="47" spans="1:7">
      <c r="A47" s="198">
        <v>43735</v>
      </c>
      <c r="B47" s="191">
        <f>2973.8+765.17+2184+577.8+4355.92+3744+6440.8+765.17+765.17+665.95+3536.64+765.17+7074+5388.8+1347.2+42.96+4370+6923.6+3477.6+7780.8+11281.09+765.17+1925+3493.25</f>
        <v>81409.06</v>
      </c>
      <c r="C47" s="253"/>
      <c r="D47" s="247"/>
      <c r="E47" s="192"/>
      <c r="F47" s="191"/>
      <c r="G47" s="185"/>
    </row>
    <row r="48" spans="1:7">
      <c r="A48" s="198">
        <v>43738</v>
      </c>
      <c r="B48" s="195">
        <f>1976+6923.6+5635.7+765.17+2879.74+3536.64+6736+3506+3477.6+4988.89</f>
        <v>40425.339999999997</v>
      </c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8"/>
      <c r="B50" s="195"/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>
      <c r="A52" s="198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SUM(B44:B52)-D37</f>
        <v>375693.62</v>
      </c>
      <c r="C53" s="246">
        <f>SUM(C44:C52)</f>
        <v>0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167452.31000000006</v>
      </c>
      <c r="C54" s="246"/>
      <c r="D54" s="250">
        <f>B54</f>
        <v>167452.31000000006</v>
      </c>
      <c r="E54" s="183"/>
      <c r="F54" s="173">
        <f>SUM(F44:F53)</f>
        <v>0</v>
      </c>
      <c r="G54" s="185"/>
    </row>
    <row r="57" spans="1:7">
      <c r="D57" s="4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8" workbookViewId="0">
      <selection activeCell="A48" sqref="A48"/>
    </sheetView>
  </sheetViews>
  <sheetFormatPr defaultRowHeight="12.75"/>
  <cols>
    <col min="1" max="1" width="12.7109375" customWidth="1"/>
    <col min="2" max="2" width="15" customWidth="1"/>
    <col min="3" max="3" width="13.7109375" customWidth="1"/>
    <col min="4" max="4" width="10.42578125" customWidth="1"/>
    <col min="5" max="5" width="11.140625" customWidth="1"/>
    <col min="6" max="6" width="12.28515625" customWidth="1"/>
    <col min="7" max="7" width="10.8554687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33.75">
      <c r="A3" s="149" t="s">
        <v>124</v>
      </c>
      <c r="B3" s="150" t="s">
        <v>125</v>
      </c>
      <c r="C3" s="151" t="s">
        <v>126</v>
      </c>
      <c r="D3" s="151" t="s">
        <v>197</v>
      </c>
      <c r="E3" s="151" t="s">
        <v>194</v>
      </c>
      <c r="F3" s="150" t="s">
        <v>129</v>
      </c>
      <c r="G3" s="211" t="s">
        <v>102</v>
      </c>
    </row>
    <row r="4" spans="1:7" ht="15.75">
      <c r="A4" s="205" t="s">
        <v>106</v>
      </c>
      <c r="B4" s="152">
        <v>155621.37</v>
      </c>
      <c r="C4" s="241"/>
      <c r="D4" s="204"/>
      <c r="E4" s="242"/>
      <c r="F4" s="242"/>
      <c r="G4" s="212">
        <f>B4+F4</f>
        <v>155621.37</v>
      </c>
    </row>
    <row r="5" spans="1:7">
      <c r="A5" s="154">
        <v>43678</v>
      </c>
      <c r="B5" s="155">
        <f>1230.13+15003.1</f>
        <v>16233.23</v>
      </c>
      <c r="C5" s="155">
        <v>1702.61</v>
      </c>
      <c r="D5" s="156"/>
      <c r="E5" s="157"/>
      <c r="F5" s="158"/>
      <c r="G5" s="211">
        <f t="shared" ref="G5:G36" si="0">SUM(B5:F5)</f>
        <v>17935.84</v>
      </c>
    </row>
    <row r="6" spans="1:7">
      <c r="A6" s="154">
        <v>43679</v>
      </c>
      <c r="B6" s="155">
        <v>1648.84</v>
      </c>
      <c r="C6" s="155"/>
      <c r="D6" s="157"/>
      <c r="E6" s="157"/>
      <c r="F6" s="159"/>
      <c r="G6" s="211">
        <f t="shared" si="0"/>
        <v>1648.84</v>
      </c>
    </row>
    <row r="7" spans="1:7">
      <c r="A7" s="154">
        <v>43682</v>
      </c>
      <c r="B7" s="155">
        <v>5011.91</v>
      </c>
      <c r="C7" s="160">
        <v>1276.96</v>
      </c>
      <c r="D7" s="156"/>
      <c r="E7" s="155"/>
      <c r="F7" s="159"/>
      <c r="G7" s="211">
        <f t="shared" si="0"/>
        <v>6288.87</v>
      </c>
    </row>
    <row r="8" spans="1:7">
      <c r="A8" s="161">
        <v>43683</v>
      </c>
      <c r="B8" s="155">
        <v>2979.56</v>
      </c>
      <c r="C8" s="155"/>
      <c r="D8" s="162"/>
      <c r="E8" s="162"/>
      <c r="F8" s="159"/>
      <c r="G8" s="211">
        <f t="shared" si="0"/>
        <v>2979.56</v>
      </c>
    </row>
    <row r="9" spans="1:7">
      <c r="A9" s="161">
        <v>43685</v>
      </c>
      <c r="B9" s="155">
        <v>2101.38</v>
      </c>
      <c r="C9" s="155"/>
      <c r="D9" s="162"/>
      <c r="E9" s="162"/>
      <c r="F9" s="159"/>
      <c r="G9" s="211">
        <f t="shared" si="0"/>
        <v>2101.38</v>
      </c>
    </row>
    <row r="10" spans="1:7">
      <c r="A10" s="161">
        <v>43686</v>
      </c>
      <c r="B10" s="155">
        <v>1545.79</v>
      </c>
      <c r="C10" s="160"/>
      <c r="D10" s="162"/>
      <c r="E10" s="162"/>
      <c r="F10" s="159"/>
      <c r="G10" s="211">
        <f t="shared" si="0"/>
        <v>1545.79</v>
      </c>
    </row>
    <row r="11" spans="1:7">
      <c r="A11" s="161">
        <v>43689</v>
      </c>
      <c r="B11" s="155">
        <v>510.78</v>
      </c>
      <c r="C11" s="155"/>
      <c r="D11" s="162"/>
      <c r="E11" s="162"/>
      <c r="F11" s="158"/>
      <c r="G11" s="211">
        <f t="shared" si="0"/>
        <v>510.78</v>
      </c>
    </row>
    <row r="12" spans="1:7">
      <c r="A12" s="161">
        <v>43690</v>
      </c>
      <c r="B12" s="155">
        <v>1729.49</v>
      </c>
      <c r="C12" s="155"/>
      <c r="D12" s="162"/>
      <c r="E12" s="162"/>
      <c r="F12" s="158"/>
      <c r="G12" s="211">
        <f t="shared" si="0"/>
        <v>1729.49</v>
      </c>
    </row>
    <row r="13" spans="1:7">
      <c r="A13" s="161">
        <v>43691</v>
      </c>
      <c r="B13" s="155">
        <v>618.32000000000005</v>
      </c>
      <c r="C13" s="155"/>
      <c r="D13" s="163"/>
      <c r="E13" s="162"/>
      <c r="F13" s="158"/>
      <c r="G13" s="211">
        <f t="shared" si="0"/>
        <v>618.32000000000005</v>
      </c>
    </row>
    <row r="14" spans="1:7">
      <c r="A14" s="161">
        <v>43696</v>
      </c>
      <c r="B14" s="155"/>
      <c r="C14" s="155"/>
      <c r="D14" s="162"/>
      <c r="E14" s="162"/>
      <c r="F14" s="158"/>
      <c r="G14" s="211">
        <f t="shared" si="0"/>
        <v>0</v>
      </c>
    </row>
    <row r="15" spans="1:7">
      <c r="A15" s="161">
        <v>43697</v>
      </c>
      <c r="B15" s="155"/>
      <c r="C15" s="160"/>
      <c r="D15" s="162"/>
      <c r="E15" s="162"/>
      <c r="F15" s="159"/>
      <c r="G15" s="211">
        <f t="shared" si="0"/>
        <v>0</v>
      </c>
    </row>
    <row r="16" spans="1:7">
      <c r="A16" s="161"/>
      <c r="B16" s="191"/>
      <c r="C16" s="191"/>
      <c r="D16" s="165"/>
      <c r="E16" s="165"/>
      <c r="F16" s="166"/>
      <c r="G16" s="211">
        <f t="shared" si="0"/>
        <v>0</v>
      </c>
    </row>
    <row r="17" spans="1:7">
      <c r="A17" s="161"/>
      <c r="B17" s="207"/>
      <c r="C17" s="208"/>
      <c r="D17" s="165"/>
      <c r="E17" s="165"/>
      <c r="F17" s="166"/>
      <c r="G17" s="211">
        <f t="shared" si="0"/>
        <v>0</v>
      </c>
    </row>
    <row r="18" spans="1:7">
      <c r="A18" s="161"/>
      <c r="B18" s="207"/>
      <c r="C18" s="208"/>
      <c r="D18" s="165"/>
      <c r="E18" s="165"/>
      <c r="F18" s="166"/>
      <c r="G18" s="211">
        <f t="shared" si="0"/>
        <v>0</v>
      </c>
    </row>
    <row r="19" spans="1:7">
      <c r="A19" s="161"/>
      <c r="B19" s="191"/>
      <c r="C19" s="208"/>
      <c r="D19" s="165"/>
      <c r="E19" s="165"/>
      <c r="F19" s="166"/>
      <c r="G19" s="211">
        <f t="shared" si="0"/>
        <v>0</v>
      </c>
    </row>
    <row r="20" spans="1:7">
      <c r="A20" s="161"/>
      <c r="B20" s="191"/>
      <c r="C20" s="209"/>
      <c r="D20" s="168"/>
      <c r="E20" s="165"/>
      <c r="F20" s="166"/>
      <c r="G20" s="211">
        <f t="shared" si="0"/>
        <v>0</v>
      </c>
    </row>
    <row r="21" spans="1:7">
      <c r="A21" s="161"/>
      <c r="B21" s="191"/>
      <c r="C21" s="208"/>
      <c r="D21" s="165"/>
      <c r="E21" s="165"/>
      <c r="F21" s="169"/>
      <c r="G21" s="211">
        <f t="shared" si="0"/>
        <v>0</v>
      </c>
    </row>
    <row r="22" spans="1:7">
      <c r="A22" s="161"/>
      <c r="B22" s="191"/>
      <c r="C22" s="208"/>
      <c r="D22" s="165"/>
      <c r="E22" s="165"/>
      <c r="F22" s="170"/>
      <c r="G22" s="211">
        <f t="shared" si="0"/>
        <v>0</v>
      </c>
    </row>
    <row r="23" spans="1:7">
      <c r="A23" s="161"/>
      <c r="B23" s="191"/>
      <c r="C23" s="208"/>
      <c r="D23" s="165"/>
      <c r="E23" s="165"/>
      <c r="F23" s="170"/>
      <c r="G23" s="211">
        <f t="shared" si="0"/>
        <v>0</v>
      </c>
    </row>
    <row r="24" spans="1:7">
      <c r="A24" s="161"/>
      <c r="B24" s="191"/>
      <c r="C24" s="208"/>
      <c r="D24" s="165"/>
      <c r="E24" s="165"/>
      <c r="F24" s="170"/>
      <c r="G24" s="211">
        <f t="shared" si="0"/>
        <v>0</v>
      </c>
    </row>
    <row r="25" spans="1:7">
      <c r="A25" s="161"/>
      <c r="B25" s="191"/>
      <c r="C25" s="208"/>
      <c r="D25" s="165"/>
      <c r="E25" s="165"/>
      <c r="F25" s="170"/>
      <c r="G25" s="211">
        <f t="shared" si="0"/>
        <v>0</v>
      </c>
    </row>
    <row r="26" spans="1:7">
      <c r="A26" s="161"/>
      <c r="B26" s="191"/>
      <c r="C26" s="208"/>
      <c r="D26" s="208"/>
      <c r="E26" s="165"/>
      <c r="F26" s="170"/>
      <c r="G26" s="211">
        <f t="shared" si="0"/>
        <v>0</v>
      </c>
    </row>
    <row r="27" spans="1:7">
      <c r="A27" s="161"/>
      <c r="B27" s="191"/>
      <c r="C27" s="208"/>
      <c r="D27" s="165"/>
      <c r="E27" s="165"/>
      <c r="F27" s="170"/>
      <c r="G27" s="211">
        <f t="shared" si="0"/>
        <v>0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32379.300000000003</v>
      </c>
      <c r="C37" s="173">
        <f t="shared" si="1"/>
        <v>2979.5699999999997</v>
      </c>
      <c r="D37" s="173">
        <f t="shared" si="1"/>
        <v>0</v>
      </c>
      <c r="E37" s="173">
        <f t="shared" si="1"/>
        <v>0</v>
      </c>
      <c r="F37" s="244">
        <f>SUM(F5:F29)</f>
        <v>0</v>
      </c>
      <c r="G37" s="173">
        <f t="shared" si="1"/>
        <v>35358.870000000003</v>
      </c>
    </row>
    <row r="38" spans="1:7" ht="20.45" customHeight="1">
      <c r="A38" s="468" t="s">
        <v>152</v>
      </c>
      <c r="B38" s="175">
        <f>SUM(B37+C37)-C53</f>
        <v>32462.940000000002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188084.31</v>
      </c>
      <c r="C41" s="183"/>
      <c r="D41" s="183"/>
      <c r="E41" s="183"/>
      <c r="F41" s="392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>
        <v>43679</v>
      </c>
      <c r="B44" s="190"/>
      <c r="C44" s="243">
        <f>197.78+851.3+1085.41+761.44</f>
        <v>2895.93</v>
      </c>
      <c r="D44" s="247"/>
      <c r="E44" s="192"/>
      <c r="F44" s="193"/>
      <c r="G44" s="185"/>
    </row>
    <row r="45" spans="1:7" ht="15" customHeight="1">
      <c r="A45" s="194"/>
      <c r="B45" s="251"/>
      <c r="C45" s="251"/>
      <c r="D45" s="247"/>
      <c r="E45" s="192"/>
      <c r="F45" s="196"/>
      <c r="G45" s="185"/>
    </row>
    <row r="46" spans="1:7">
      <c r="A46" s="194"/>
      <c r="B46" s="195"/>
      <c r="C46" s="252"/>
      <c r="D46" s="247"/>
      <c r="E46" s="192"/>
      <c r="F46" s="191"/>
      <c r="G46" s="185"/>
    </row>
    <row r="47" spans="1:7">
      <c r="A47" s="198"/>
      <c r="B47" s="191"/>
      <c r="C47" s="253"/>
      <c r="D47" s="247"/>
      <c r="E47" s="192"/>
      <c r="F47" s="191"/>
      <c r="G47" s="185"/>
    </row>
    <row r="48" spans="1:7">
      <c r="A48" s="198"/>
      <c r="B48" s="195"/>
      <c r="C48" s="251"/>
      <c r="D48" s="247"/>
      <c r="E48" s="192"/>
      <c r="F48" s="191"/>
      <c r="G48" s="185"/>
    </row>
    <row r="49" spans="1:7">
      <c r="A49" s="198"/>
      <c r="B49" s="195"/>
      <c r="C49" s="251"/>
      <c r="D49" s="247"/>
      <c r="E49" s="192"/>
      <c r="F49" s="191"/>
      <c r="G49" s="185"/>
    </row>
    <row r="50" spans="1:7">
      <c r="A50" s="198"/>
      <c r="B50" s="195"/>
      <c r="C50" s="243"/>
      <c r="D50" s="247"/>
      <c r="E50" s="192"/>
      <c r="F50" s="191"/>
      <c r="G50" s="185"/>
    </row>
    <row r="51" spans="1:7">
      <c r="A51" s="198"/>
      <c r="B51" s="195"/>
      <c r="C51" s="243"/>
      <c r="D51" s="247"/>
      <c r="E51" s="183"/>
      <c r="F51" s="191"/>
      <c r="G51" s="185"/>
    </row>
    <row r="52" spans="1:7">
      <c r="A52" s="198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SUM(B44:B52)-D37</f>
        <v>0</v>
      </c>
      <c r="C53" s="246">
        <f>SUM(C44:C52)</f>
        <v>2895.93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188084.31</v>
      </c>
      <c r="C54" s="246"/>
      <c r="D54" s="250">
        <f>B54</f>
        <v>188084.31</v>
      </c>
      <c r="E54" s="183"/>
      <c r="F54" s="173">
        <f>SUM(F44:F53)</f>
        <v>0</v>
      </c>
      <c r="G54" s="185"/>
    </row>
    <row r="57" spans="1:7">
      <c r="D57" s="4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5" workbookViewId="0">
      <selection activeCell="D54" sqref="D54"/>
    </sheetView>
  </sheetViews>
  <sheetFormatPr defaultRowHeight="12.75"/>
  <cols>
    <col min="1" max="1" width="12.7109375" customWidth="1"/>
    <col min="2" max="2" width="15" customWidth="1"/>
    <col min="3" max="3" width="13.7109375" customWidth="1"/>
    <col min="4" max="4" width="10.42578125" customWidth="1"/>
    <col min="5" max="5" width="11.140625" customWidth="1"/>
    <col min="6" max="6" width="12.28515625" customWidth="1"/>
    <col min="7" max="7" width="9.140625" style="214" customWidth="1"/>
  </cols>
  <sheetData>
    <row r="1" spans="1:7" ht="18">
      <c r="B1" s="711" t="s">
        <v>122</v>
      </c>
      <c r="C1" s="711"/>
      <c r="D1" s="711"/>
      <c r="F1" s="147"/>
      <c r="G1" s="210"/>
    </row>
    <row r="2" spans="1:7">
      <c r="B2" s="147"/>
      <c r="F2" s="148" t="s">
        <v>123</v>
      </c>
      <c r="G2" s="210"/>
    </row>
    <row r="3" spans="1:7" ht="33.75">
      <c r="A3" s="149" t="s">
        <v>124</v>
      </c>
      <c r="B3" s="150" t="s">
        <v>125</v>
      </c>
      <c r="C3" s="151" t="s">
        <v>126</v>
      </c>
      <c r="D3" s="151" t="s">
        <v>197</v>
      </c>
      <c r="E3" s="151" t="s">
        <v>194</v>
      </c>
      <c r="F3" s="150" t="s">
        <v>129</v>
      </c>
      <c r="G3" s="211" t="s">
        <v>102</v>
      </c>
    </row>
    <row r="4" spans="1:7" ht="15.75">
      <c r="A4" s="205" t="s">
        <v>106</v>
      </c>
      <c r="B4" s="152">
        <v>5037.07</v>
      </c>
      <c r="C4" s="241"/>
      <c r="D4" s="204"/>
      <c r="E4" s="242"/>
      <c r="F4" s="242"/>
      <c r="G4" s="212">
        <f>B4+F4</f>
        <v>5037.07</v>
      </c>
    </row>
    <row r="5" spans="1:7">
      <c r="A5" s="154">
        <v>43647</v>
      </c>
      <c r="B5" s="155">
        <f>8234.64+3297.68</f>
        <v>11532.32</v>
      </c>
      <c r="C5" s="155">
        <v>3606.84</v>
      </c>
      <c r="D5" s="156"/>
      <c r="E5" s="157"/>
      <c r="F5" s="158"/>
      <c r="G5" s="211">
        <f t="shared" ref="G5:G36" si="0">SUM(B5:F5)</f>
        <v>15139.16</v>
      </c>
    </row>
    <row r="6" spans="1:7">
      <c r="A6" s="154">
        <v>43648</v>
      </c>
      <c r="B6" s="155">
        <v>14240.26</v>
      </c>
      <c r="C6" s="155"/>
      <c r="D6" s="157"/>
      <c r="E6" s="157"/>
      <c r="F6" s="159"/>
      <c r="G6" s="211">
        <f t="shared" si="0"/>
        <v>14240.26</v>
      </c>
    </row>
    <row r="7" spans="1:7">
      <c r="A7" s="154">
        <v>43649</v>
      </c>
      <c r="B7" s="155">
        <v>39886.53</v>
      </c>
      <c r="C7" s="160">
        <v>412.21</v>
      </c>
      <c r="D7" s="156"/>
      <c r="E7" s="155"/>
      <c r="F7" s="159"/>
      <c r="G7" s="211">
        <f t="shared" si="0"/>
        <v>40298.74</v>
      </c>
    </row>
    <row r="8" spans="1:7">
      <c r="A8" s="161">
        <v>43650</v>
      </c>
      <c r="B8" s="155">
        <v>23635.119999999999</v>
      </c>
      <c r="C8" s="155">
        <v>1442.74</v>
      </c>
      <c r="D8" s="162"/>
      <c r="E8" s="162"/>
      <c r="F8" s="159"/>
      <c r="G8" s="211">
        <f t="shared" si="0"/>
        <v>25077.86</v>
      </c>
    </row>
    <row r="9" spans="1:7">
      <c r="A9" s="161">
        <v>43651</v>
      </c>
      <c r="B9" s="155">
        <v>29024.21</v>
      </c>
      <c r="C9" s="155">
        <v>8811.8700000000008</v>
      </c>
      <c r="D9" s="162"/>
      <c r="E9" s="162"/>
      <c r="F9" s="159"/>
      <c r="G9" s="211">
        <f t="shared" si="0"/>
        <v>37836.080000000002</v>
      </c>
    </row>
    <row r="10" spans="1:7">
      <c r="A10" s="161">
        <v>43654</v>
      </c>
      <c r="B10" s="155">
        <f>9352.04+34173.82</f>
        <v>43525.86</v>
      </c>
      <c r="C10" s="160">
        <f>2473.26+6492.32</f>
        <v>8965.58</v>
      </c>
      <c r="D10" s="162"/>
      <c r="E10" s="162"/>
      <c r="F10" s="159"/>
      <c r="G10" s="211">
        <f t="shared" si="0"/>
        <v>52491.44</v>
      </c>
    </row>
    <row r="11" spans="1:7">
      <c r="A11" s="161">
        <v>43655</v>
      </c>
      <c r="B11" s="155">
        <f>12760.16</f>
        <v>12760.16</v>
      </c>
      <c r="C11" s="155">
        <v>2650.17</v>
      </c>
      <c r="D11" s="162"/>
      <c r="E11" s="162"/>
      <c r="F11" s="158"/>
      <c r="G11" s="211">
        <f t="shared" si="0"/>
        <v>15410.33</v>
      </c>
    </row>
    <row r="12" spans="1:7">
      <c r="A12" s="161">
        <v>43656</v>
      </c>
      <c r="B12" s="155">
        <f>9480.83</f>
        <v>9480.83</v>
      </c>
      <c r="C12" s="155">
        <v>2473.27</v>
      </c>
      <c r="D12" s="162"/>
      <c r="E12" s="162"/>
      <c r="F12" s="158"/>
      <c r="G12" s="211">
        <f t="shared" si="0"/>
        <v>11954.1</v>
      </c>
    </row>
    <row r="13" spans="1:7">
      <c r="A13" s="161">
        <v>43657</v>
      </c>
      <c r="B13" s="155">
        <v>16684.669999999998</v>
      </c>
      <c r="C13" s="155">
        <v>1648.84</v>
      </c>
      <c r="D13" s="163"/>
      <c r="E13" s="162"/>
      <c r="F13" s="158"/>
      <c r="G13" s="211">
        <f t="shared" si="0"/>
        <v>18333.509999999998</v>
      </c>
    </row>
    <row r="14" spans="1:7">
      <c r="A14" s="161">
        <v>43658</v>
      </c>
      <c r="B14" s="155">
        <v>16749.63</v>
      </c>
      <c r="C14" s="155">
        <v>6595.36</v>
      </c>
      <c r="D14" s="162"/>
      <c r="E14" s="162"/>
      <c r="F14" s="158"/>
      <c r="G14" s="211">
        <f t="shared" si="0"/>
        <v>23344.99</v>
      </c>
    </row>
    <row r="15" spans="1:7">
      <c r="A15" s="161">
        <v>43661</v>
      </c>
      <c r="B15" s="155">
        <f>33214.21+9709.35</f>
        <v>42923.56</v>
      </c>
      <c r="C15" s="160">
        <v>1030.53</v>
      </c>
      <c r="D15" s="162"/>
      <c r="E15" s="162"/>
      <c r="F15" s="159"/>
      <c r="G15" s="211">
        <f t="shared" si="0"/>
        <v>43954.09</v>
      </c>
    </row>
    <row r="16" spans="1:7">
      <c r="A16" s="161">
        <v>43662</v>
      </c>
      <c r="B16" s="191">
        <v>17201.38</v>
      </c>
      <c r="C16" s="191">
        <v>2885.28</v>
      </c>
      <c r="D16" s="165"/>
      <c r="E16" s="165"/>
      <c r="F16" s="166"/>
      <c r="G16" s="211">
        <f t="shared" si="0"/>
        <v>20086.66</v>
      </c>
    </row>
    <row r="17" spans="1:7">
      <c r="A17" s="161">
        <v>43663</v>
      </c>
      <c r="B17" s="207">
        <v>11690.18</v>
      </c>
      <c r="C17" s="208">
        <v>3709.89</v>
      </c>
      <c r="D17" s="165"/>
      <c r="E17" s="165"/>
      <c r="F17" s="166"/>
      <c r="G17" s="211">
        <f t="shared" si="0"/>
        <v>15400.07</v>
      </c>
    </row>
    <row r="18" spans="1:7">
      <c r="A18" s="161">
        <v>43664</v>
      </c>
      <c r="B18" s="207">
        <v>4509.1899999999996</v>
      </c>
      <c r="C18" s="208"/>
      <c r="D18" s="165"/>
      <c r="E18" s="165"/>
      <c r="F18" s="166"/>
      <c r="G18" s="211">
        <f t="shared" si="0"/>
        <v>4509.1899999999996</v>
      </c>
    </row>
    <row r="19" spans="1:7">
      <c r="A19" s="161">
        <v>43665</v>
      </c>
      <c r="B19" s="191">
        <v>9234.26</v>
      </c>
      <c r="C19" s="208">
        <v>4625.91</v>
      </c>
      <c r="D19" s="165"/>
      <c r="E19" s="165"/>
      <c r="F19" s="166"/>
      <c r="G19" s="211">
        <f t="shared" si="0"/>
        <v>13860.17</v>
      </c>
    </row>
    <row r="20" spans="1:7">
      <c r="A20" s="161">
        <v>43668</v>
      </c>
      <c r="B20" s="191">
        <v>5461.79</v>
      </c>
      <c r="C20" s="209">
        <v>1855.79</v>
      </c>
      <c r="D20" s="168"/>
      <c r="E20" s="165"/>
      <c r="F20" s="166"/>
      <c r="G20" s="211">
        <f t="shared" si="0"/>
        <v>7317.58</v>
      </c>
    </row>
    <row r="21" spans="1:7">
      <c r="A21" s="161">
        <v>43669</v>
      </c>
      <c r="B21" s="191">
        <v>4426.78</v>
      </c>
      <c r="C21" s="208"/>
      <c r="D21" s="165"/>
      <c r="E21" s="165"/>
      <c r="F21" s="169"/>
      <c r="G21" s="211">
        <f t="shared" si="0"/>
        <v>4426.78</v>
      </c>
    </row>
    <row r="22" spans="1:7">
      <c r="A22" s="161">
        <v>43670</v>
      </c>
      <c r="B22" s="191">
        <f>4657.54</f>
        <v>4657.54</v>
      </c>
      <c r="C22" s="208">
        <v>1545.79</v>
      </c>
      <c r="D22" s="165"/>
      <c r="E22" s="165"/>
      <c r="F22" s="170"/>
      <c r="G22" s="211">
        <f t="shared" si="0"/>
        <v>6203.33</v>
      </c>
    </row>
    <row r="23" spans="1:7">
      <c r="A23" s="161">
        <v>43671</v>
      </c>
      <c r="B23" s="191">
        <v>10677.53</v>
      </c>
      <c r="C23" s="208"/>
      <c r="D23" s="165"/>
      <c r="E23" s="165"/>
      <c r="F23" s="170"/>
      <c r="G23" s="211">
        <f t="shared" si="0"/>
        <v>10677.53</v>
      </c>
    </row>
    <row r="24" spans="1:7">
      <c r="A24" s="161">
        <v>43672</v>
      </c>
      <c r="B24" s="191">
        <v>6640.18</v>
      </c>
      <c r="C24" s="208">
        <v>1787.73</v>
      </c>
      <c r="D24" s="165"/>
      <c r="E24" s="165"/>
      <c r="F24" s="170"/>
      <c r="G24" s="211">
        <f t="shared" si="0"/>
        <v>8427.91</v>
      </c>
    </row>
    <row r="25" spans="1:7">
      <c r="A25" s="161">
        <v>43675</v>
      </c>
      <c r="B25" s="191">
        <f>7576.61+33638.79</f>
        <v>41215.4</v>
      </c>
      <c r="C25" s="208"/>
      <c r="D25" s="165"/>
      <c r="E25" s="165"/>
      <c r="F25" s="170"/>
      <c r="G25" s="211">
        <f t="shared" si="0"/>
        <v>41215.4</v>
      </c>
    </row>
    <row r="26" spans="1:7">
      <c r="A26" s="161">
        <v>43676</v>
      </c>
      <c r="B26" s="191">
        <v>32872.239999999998</v>
      </c>
      <c r="C26" s="208"/>
      <c r="D26" s="208">
        <v>5100</v>
      </c>
      <c r="E26" s="165"/>
      <c r="F26" s="170"/>
      <c r="G26" s="211">
        <f t="shared" si="0"/>
        <v>37972.239999999998</v>
      </c>
    </row>
    <row r="27" spans="1:7">
      <c r="A27" s="161">
        <v>43677</v>
      </c>
      <c r="B27" s="191">
        <f>30850.17+1276.96</f>
        <v>32127.129999999997</v>
      </c>
      <c r="C27" s="208">
        <v>2051.65</v>
      </c>
      <c r="D27" s="165"/>
      <c r="E27" s="165"/>
      <c r="F27" s="170"/>
      <c r="G27" s="211">
        <f t="shared" si="0"/>
        <v>34178.78</v>
      </c>
    </row>
    <row r="28" spans="1:7">
      <c r="A28" s="161"/>
      <c r="B28" s="164"/>
      <c r="C28" s="165"/>
      <c r="D28" s="165"/>
      <c r="E28" s="165"/>
      <c r="F28" s="170"/>
      <c r="G28" s="211">
        <f t="shared" si="0"/>
        <v>0</v>
      </c>
    </row>
    <row r="29" spans="1:7">
      <c r="A29" s="161"/>
      <c r="B29" s="164"/>
      <c r="C29" s="165"/>
      <c r="D29" s="165"/>
      <c r="E29" s="165"/>
      <c r="F29" s="170"/>
      <c r="G29" s="211">
        <f t="shared" si="0"/>
        <v>0</v>
      </c>
    </row>
    <row r="30" spans="1:7">
      <c r="A30" s="161"/>
      <c r="B30" s="164"/>
      <c r="C30" s="165"/>
      <c r="D30" s="165"/>
      <c r="E30" s="165"/>
      <c r="F30" s="170"/>
      <c r="G30" s="211">
        <f t="shared" si="0"/>
        <v>0</v>
      </c>
    </row>
    <row r="31" spans="1:7">
      <c r="A31" s="161"/>
      <c r="B31" s="164"/>
      <c r="C31" s="165"/>
      <c r="D31" s="165"/>
      <c r="E31" s="165"/>
      <c r="F31" s="170"/>
      <c r="G31" s="211">
        <f t="shared" si="0"/>
        <v>0</v>
      </c>
    </row>
    <row r="32" spans="1:7">
      <c r="A32" s="161"/>
      <c r="B32" s="164"/>
      <c r="C32" s="165"/>
      <c r="D32" s="165"/>
      <c r="E32" s="165"/>
      <c r="F32" s="170"/>
      <c r="G32" s="211">
        <f t="shared" si="0"/>
        <v>0</v>
      </c>
    </row>
    <row r="33" spans="1:7">
      <c r="A33" s="161"/>
      <c r="B33" s="164"/>
      <c r="C33" s="165"/>
      <c r="D33" s="165"/>
      <c r="E33" s="165"/>
      <c r="F33" s="170"/>
      <c r="G33" s="211">
        <f t="shared" si="0"/>
        <v>0</v>
      </c>
    </row>
    <row r="34" spans="1:7">
      <c r="A34" s="154"/>
      <c r="B34" s="164"/>
      <c r="C34" s="164"/>
      <c r="D34" s="164"/>
      <c r="E34" s="164"/>
      <c r="F34" s="170"/>
      <c r="G34" s="211">
        <f t="shared" si="0"/>
        <v>0</v>
      </c>
    </row>
    <row r="35" spans="1:7">
      <c r="A35" s="154"/>
      <c r="B35" s="167"/>
      <c r="C35" s="167"/>
      <c r="D35" s="167"/>
      <c r="E35" s="164"/>
      <c r="F35" s="172"/>
      <c r="G35" s="211">
        <f t="shared" si="0"/>
        <v>0</v>
      </c>
    </row>
    <row r="36" spans="1:7">
      <c r="A36" s="154"/>
      <c r="B36" s="167"/>
      <c r="C36" s="167"/>
      <c r="D36" s="167"/>
      <c r="E36" s="164"/>
      <c r="F36" s="166"/>
      <c r="G36" s="211">
        <f t="shared" si="0"/>
        <v>0</v>
      </c>
    </row>
    <row r="37" spans="1:7">
      <c r="A37" s="173" t="s">
        <v>104</v>
      </c>
      <c r="B37" s="173">
        <f t="shared" ref="B37:G37" si="1">SUM(B5:B29)</f>
        <v>441156.75</v>
      </c>
      <c r="C37" s="173">
        <f t="shared" si="1"/>
        <v>56099.45</v>
      </c>
      <c r="D37" s="173">
        <f t="shared" si="1"/>
        <v>5100</v>
      </c>
      <c r="E37" s="173">
        <f t="shared" si="1"/>
        <v>0</v>
      </c>
      <c r="F37" s="244">
        <f>SUM(F5:F29)</f>
        <v>0</v>
      </c>
      <c r="G37" s="173">
        <f t="shared" si="1"/>
        <v>502356.20000000007</v>
      </c>
    </row>
    <row r="38" spans="1:7" ht="20.45" customHeight="1">
      <c r="A38" s="468" t="s">
        <v>152</v>
      </c>
      <c r="B38" s="175">
        <f>SUM(B37+C37)-C53</f>
        <v>495430.92</v>
      </c>
      <c r="C38" s="173"/>
      <c r="D38" s="173"/>
      <c r="E38" s="176">
        <f>E37+E4</f>
        <v>0</v>
      </c>
      <c r="F38" s="177"/>
      <c r="G38" s="173"/>
    </row>
    <row r="39" spans="1:7">
      <c r="A39" s="178"/>
      <c r="B39" s="179"/>
      <c r="C39" s="164"/>
      <c r="D39" s="164"/>
      <c r="E39" s="164"/>
      <c r="F39" s="164"/>
      <c r="G39" s="173"/>
    </row>
    <row r="40" spans="1:7">
      <c r="A40" s="180"/>
      <c r="B40" s="171"/>
      <c r="C40" s="164"/>
      <c r="D40" s="164"/>
      <c r="E40" s="164"/>
      <c r="F40" s="164"/>
      <c r="G40" s="173"/>
    </row>
    <row r="41" spans="1:7" ht="15">
      <c r="A41" s="181" t="s">
        <v>151</v>
      </c>
      <c r="B41" s="182">
        <f>B38+B4+C4+E4+E37+F37-F4</f>
        <v>500467.99</v>
      </c>
      <c r="C41" s="183"/>
      <c r="D41" s="183"/>
      <c r="E41" s="183"/>
      <c r="F41" s="392"/>
      <c r="G41" s="185"/>
    </row>
    <row r="42" spans="1:7" ht="15">
      <c r="A42" s="186"/>
      <c r="B42" s="182"/>
      <c r="C42" s="183"/>
      <c r="D42" s="183"/>
      <c r="E42" s="183"/>
      <c r="F42" s="183"/>
      <c r="G42" s="185"/>
    </row>
    <row r="43" spans="1:7" ht="38.25">
      <c r="A43" s="187" t="s">
        <v>133</v>
      </c>
      <c r="B43" s="223" t="s">
        <v>138</v>
      </c>
      <c r="C43" s="245" t="s">
        <v>134</v>
      </c>
      <c r="D43" s="247"/>
      <c r="E43" s="183"/>
      <c r="F43" s="188" t="s">
        <v>135</v>
      </c>
      <c r="G43" s="185"/>
    </row>
    <row r="44" spans="1:7" ht="14.25" customHeight="1">
      <c r="A44" s="189">
        <v>43648</v>
      </c>
      <c r="B44" s="190"/>
      <c r="C44" s="243">
        <v>1202.28</v>
      </c>
      <c r="D44" s="247"/>
      <c r="E44" s="192"/>
      <c r="F44" s="193"/>
      <c r="G44" s="185"/>
    </row>
    <row r="45" spans="1:7" ht="15" customHeight="1">
      <c r="A45" s="194">
        <v>43654</v>
      </c>
      <c r="B45" s="251">
        <f>4466.7+6437.77+1092+2485.43+942.57+943.31+942.57+7074+3943.95+7714+15262.76+942.57+270.13+1806.64+1405.73+2553.35+3241.92+577.8+7780.8+665.95+6736</f>
        <v>77285.95</v>
      </c>
      <c r="C45" s="251"/>
      <c r="D45" s="247"/>
      <c r="E45" s="192"/>
      <c r="F45" s="196"/>
      <c r="G45" s="185"/>
    </row>
    <row r="46" spans="1:7">
      <c r="A46" s="194">
        <v>43656</v>
      </c>
      <c r="B46" s="195"/>
      <c r="C46" s="252"/>
      <c r="D46" s="247"/>
      <c r="E46" s="192"/>
      <c r="F46" s="191"/>
      <c r="G46" s="185"/>
    </row>
    <row r="47" spans="1:7">
      <c r="A47" s="198">
        <v>43662</v>
      </c>
      <c r="B47" s="191">
        <f>3368+2371.2+3241.92+1753+3315.53+4580.7+3368+665.95+901.81+3463.2+6440.8+1155.6+1742+5199.57+942.57+4752.28+7714</f>
        <v>54976.13</v>
      </c>
      <c r="C47" s="253"/>
      <c r="D47" s="247"/>
      <c r="E47" s="192"/>
      <c r="F47" s="191"/>
      <c r="G47" s="185"/>
    </row>
    <row r="48" spans="1:7">
      <c r="A48" s="198">
        <v>43664</v>
      </c>
      <c r="B48" s="195">
        <f>665.95+901.81+2496+901.81+11896.8+3241.92+3319.5+4466.7+9726+6736+7318.8+6440.8+901.81+901.81+901.81+11896.8+9726+7469.2+6982.73+1753+3210+3463.2+901.81+2371.2+901.81+901.81+7469.2</f>
        <v>117864.27999999998</v>
      </c>
      <c r="C48" s="251"/>
      <c r="D48" s="247"/>
      <c r="E48" s="192"/>
      <c r="F48" s="191"/>
      <c r="G48" s="185"/>
    </row>
    <row r="49" spans="1:7">
      <c r="A49" s="198">
        <v>43665</v>
      </c>
      <c r="B49" s="195"/>
      <c r="C49" s="251">
        <v>623</v>
      </c>
      <c r="D49" s="247"/>
      <c r="E49" s="192"/>
      <c r="F49" s="191"/>
      <c r="G49" s="185"/>
    </row>
    <row r="50" spans="1:7">
      <c r="A50" s="198">
        <v>43672</v>
      </c>
      <c r="B50" s="195">
        <f>2371.2+840.69+4714.52+3226.85+7781.83+3573.8+840.69+2371.2+3965.6+1755.41+840.69+6440.8+3249.57+7318.8+1971.9+7472.56+840.69+4662.11+799.21+901.81+2020.8+840.69+3275.1+871</f>
        <v>72947.520000000019</v>
      </c>
      <c r="C50" s="243"/>
      <c r="D50" s="247"/>
      <c r="E50" s="192"/>
      <c r="F50" s="191"/>
      <c r="G50" s="185"/>
    </row>
    <row r="51" spans="1:7">
      <c r="A51" s="198">
        <v>43677</v>
      </c>
      <c r="B51" s="195">
        <f>1051.8+840.69+840.69+3640+3220.4+1440+2572.87+840.69+1738.8+7318.8+3368</f>
        <v>26872.74</v>
      </c>
      <c r="C51" s="243"/>
      <c r="D51" s="247"/>
      <c r="E51" s="183"/>
      <c r="F51" s="191"/>
      <c r="G51" s="185"/>
    </row>
    <row r="52" spans="1:7">
      <c r="A52" s="198"/>
      <c r="B52" s="195"/>
      <c r="C52" s="243"/>
      <c r="D52" s="248"/>
      <c r="E52" s="183"/>
      <c r="F52" s="191"/>
      <c r="G52" s="185"/>
    </row>
    <row r="53" spans="1:7" ht="15.75">
      <c r="A53" s="198" t="s">
        <v>136</v>
      </c>
      <c r="B53" s="200">
        <f>SUM(B44:B52)-D37</f>
        <v>344846.62</v>
      </c>
      <c r="C53" s="246">
        <f>SUM(C44:C52)</f>
        <v>1825.28</v>
      </c>
      <c r="D53" s="249"/>
      <c r="E53" s="183"/>
      <c r="F53" s="191"/>
      <c r="G53" s="185"/>
    </row>
    <row r="54" spans="1:7" ht="15.75" customHeight="1">
      <c r="A54" s="202" t="s">
        <v>148</v>
      </c>
      <c r="B54" s="182">
        <f>B41-B53</f>
        <v>155621.37</v>
      </c>
      <c r="C54" s="246"/>
      <c r="D54" s="250">
        <f>B54</f>
        <v>155621.37</v>
      </c>
      <c r="E54" s="183"/>
      <c r="F54" s="173">
        <f>SUM(F44:F53)</f>
        <v>0</v>
      </c>
      <c r="G54" s="185"/>
    </row>
    <row r="57" spans="1:7">
      <c r="D57" s="4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3</vt:i4>
      </vt:variant>
    </vt:vector>
  </HeadingPairs>
  <TitlesOfParts>
    <vt:vector size="42" baseType="lpstr">
      <vt:lpstr>внеб февраль</vt:lpstr>
      <vt:lpstr>апрель</vt:lpstr>
      <vt:lpstr>20 лс</vt:lpstr>
      <vt:lpstr>декабрь 19</vt:lpstr>
      <vt:lpstr>ноябрь 19</vt:lpstr>
      <vt:lpstr>октябрь 19</vt:lpstr>
      <vt:lpstr>сентябрь 19</vt:lpstr>
      <vt:lpstr>август 19</vt:lpstr>
      <vt:lpstr>июль 19</vt:lpstr>
      <vt:lpstr>июнь 19</vt:lpstr>
      <vt:lpstr>май 19</vt:lpstr>
      <vt:lpstr>апрель 19</vt:lpstr>
      <vt:lpstr>март</vt:lpstr>
      <vt:lpstr>февраль</vt:lpstr>
      <vt:lpstr>январь</vt:lpstr>
      <vt:lpstr>внеб декабрь</vt:lpstr>
      <vt:lpstr>внеб октябрь</vt:lpstr>
      <vt:lpstr>внеб сентябрь</vt:lpstr>
      <vt:lpstr>внеб август</vt:lpstr>
      <vt:lpstr>внеб июль</vt:lpstr>
      <vt:lpstr>внеб июнь</vt:lpstr>
      <vt:lpstr>внеб май</vt:lpstr>
      <vt:lpstr>внеб апрель</vt:lpstr>
      <vt:lpstr>июнь</vt:lpstr>
      <vt:lpstr>июль</vt:lpstr>
      <vt:lpstr>сентябрь</vt:lpstr>
      <vt:lpstr>август</vt:lpstr>
      <vt:lpstr>декабрь</vt:lpstr>
      <vt:lpstr>ноябрь</vt:lpstr>
      <vt:lpstr>октябрь</vt:lpstr>
      <vt:lpstr>внеб март</vt:lpstr>
      <vt:lpstr>внеб ноябрь</vt:lpstr>
      <vt:lpstr>апрель 20</vt:lpstr>
      <vt:lpstr>март 20</vt:lpstr>
      <vt:lpstr>февраль 20</vt:lpstr>
      <vt:lpstr>январь 20</vt:lpstr>
      <vt:lpstr>21 лиц счет</vt:lpstr>
      <vt:lpstr>отчет (2)</vt:lpstr>
      <vt:lpstr>Лист1</vt:lpstr>
      <vt:lpstr>'20 лс'!Область_печати</vt:lpstr>
      <vt:lpstr>'21 лиц счет'!Область_печати</vt:lpstr>
      <vt:lpstr>'отчет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2021-01-03T12:17:40Z</cp:lastPrinted>
  <dcterms:created xsi:type="dcterms:W3CDTF">2020-05-26T12:04:07Z</dcterms:created>
  <dcterms:modified xsi:type="dcterms:W3CDTF">2023-11-08T05:01:35Z</dcterms:modified>
</cp:coreProperties>
</file>